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CAS\Commun\02_RICG_SoumissionEnCours\En cours\Groupe Park Avenue-Growth and transitions\Révision linguistique\"/>
    </mc:Choice>
  </mc:AlternateContent>
  <bookViews>
    <workbookView xWindow="0" yWindow="0" windowWidth="25605" windowHeight="16065" tabRatio="500"/>
  </bookViews>
  <sheets>
    <sheet name="Appendix V2" sheetId="2" r:id="rId1"/>
    <sheet name="PowerPoint Version" sheetId="3" r:id="rId2"/>
  </sheets>
  <definedNames>
    <definedName name="_xlnm.Print_Area" localSheetId="0">'Appendix V2'!$A$1:$S$75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47" i="2" l="1"/>
  <c r="P48" i="2"/>
  <c r="P52" i="2"/>
  <c r="P54" i="2"/>
  <c r="P70" i="2"/>
  <c r="P71" i="2"/>
  <c r="P59" i="2"/>
  <c r="P60" i="2"/>
  <c r="P72" i="2"/>
  <c r="P24" i="2"/>
  <c r="P25" i="2"/>
  <c r="P26" i="2"/>
  <c r="P27" i="2"/>
  <c r="P28" i="2"/>
  <c r="P36" i="2"/>
  <c r="P73" i="2"/>
  <c r="P75" i="2"/>
  <c r="P100" i="2"/>
  <c r="P98" i="2"/>
  <c r="P97" i="2"/>
  <c r="P96" i="2"/>
  <c r="P95" i="2"/>
  <c r="G24" i="2"/>
  <c r="L24" i="2"/>
  <c r="I18" i="2"/>
  <c r="K18" i="2"/>
  <c r="K24" i="2"/>
  <c r="N24" i="2"/>
  <c r="G25" i="2"/>
  <c r="L25" i="2"/>
  <c r="I19" i="2"/>
  <c r="K19" i="2"/>
  <c r="K25" i="2"/>
  <c r="N25" i="2"/>
  <c r="G26" i="2"/>
  <c r="L26" i="2"/>
  <c r="I20" i="2"/>
  <c r="K20" i="2"/>
  <c r="K26" i="2"/>
  <c r="N26" i="2"/>
  <c r="G27" i="2"/>
  <c r="L27" i="2"/>
  <c r="I21" i="2"/>
  <c r="K21" i="2"/>
  <c r="K27" i="2"/>
  <c r="N27" i="2"/>
  <c r="N28" i="2"/>
  <c r="K22" i="2"/>
  <c r="K30" i="2"/>
  <c r="N30" i="2"/>
  <c r="K31" i="2"/>
  <c r="N31" i="2"/>
  <c r="K32" i="2"/>
  <c r="N32" i="2"/>
  <c r="K33" i="2"/>
  <c r="N33" i="2"/>
  <c r="N34" i="2"/>
  <c r="N36" i="2"/>
  <c r="N73" i="2"/>
  <c r="I22" i="2"/>
  <c r="P22" i="2"/>
  <c r="I42" i="2"/>
  <c r="K42" i="2"/>
  <c r="N42" i="2"/>
  <c r="I43" i="2"/>
  <c r="K43" i="2"/>
  <c r="N43" i="2"/>
  <c r="I47" i="2"/>
  <c r="K47" i="2"/>
  <c r="N47" i="2"/>
  <c r="N48" i="2"/>
  <c r="N50" i="2"/>
  <c r="I51" i="2"/>
  <c r="K51" i="2"/>
  <c r="N51" i="2"/>
  <c r="N52" i="2"/>
  <c r="N54" i="2"/>
  <c r="N70" i="2"/>
  <c r="N71" i="2"/>
  <c r="I56" i="2"/>
  <c r="K56" i="2"/>
  <c r="N56" i="2"/>
  <c r="I57" i="2"/>
  <c r="K57" i="2"/>
  <c r="N57" i="2"/>
  <c r="I58" i="2"/>
  <c r="K58" i="2"/>
  <c r="N58" i="2"/>
  <c r="I59" i="2"/>
  <c r="K59" i="2"/>
  <c r="N59" i="2"/>
  <c r="N60" i="2"/>
  <c r="N72" i="2"/>
  <c r="N75" i="2"/>
  <c r="N100" i="2"/>
  <c r="N98" i="2"/>
  <c r="N97" i="2"/>
  <c r="N96" i="2"/>
  <c r="N95" i="2"/>
  <c r="K48" i="2"/>
  <c r="K52" i="2"/>
  <c r="K54" i="2"/>
  <c r="K70" i="2"/>
  <c r="K71" i="2"/>
  <c r="K60" i="2"/>
  <c r="K72" i="2"/>
  <c r="K28" i="2"/>
  <c r="K34" i="2"/>
  <c r="K36" i="2"/>
  <c r="K73" i="2"/>
  <c r="K75" i="2"/>
  <c r="K100" i="2"/>
  <c r="K98" i="2"/>
  <c r="K97" i="2"/>
  <c r="K96" i="2"/>
  <c r="K95" i="2"/>
  <c r="I48" i="2"/>
  <c r="I52" i="2"/>
  <c r="I54" i="2"/>
  <c r="I70" i="2"/>
  <c r="I71" i="2"/>
  <c r="I60" i="2"/>
  <c r="I72" i="2"/>
  <c r="I24" i="2"/>
  <c r="I25" i="2"/>
  <c r="I26" i="2"/>
  <c r="I27" i="2"/>
  <c r="I28" i="2"/>
  <c r="I30" i="2"/>
  <c r="I31" i="2"/>
  <c r="I32" i="2"/>
  <c r="I33" i="2"/>
  <c r="I34" i="2"/>
  <c r="I36" i="2"/>
  <c r="I73" i="2"/>
  <c r="I75" i="2"/>
  <c r="I100" i="2"/>
  <c r="I98" i="2"/>
  <c r="I97" i="2"/>
  <c r="I96" i="2"/>
  <c r="I95" i="2"/>
  <c r="F54" i="2"/>
  <c r="F70" i="2"/>
  <c r="F71" i="2"/>
  <c r="F60" i="2"/>
  <c r="F72" i="2"/>
  <c r="F73" i="2"/>
  <c r="F75" i="2"/>
  <c r="F100" i="2"/>
  <c r="F98" i="2"/>
  <c r="F97" i="2"/>
  <c r="F96" i="2"/>
  <c r="F95" i="2"/>
  <c r="A100" i="2"/>
  <c r="A98" i="2"/>
  <c r="A97" i="2"/>
  <c r="A96" i="2"/>
  <c r="A95" i="2"/>
  <c r="P85" i="2"/>
  <c r="P84" i="2"/>
  <c r="N85" i="2"/>
  <c r="N84" i="2"/>
  <c r="K85" i="2"/>
  <c r="I85" i="2"/>
  <c r="F85" i="2"/>
  <c r="P64" i="2"/>
  <c r="P90" i="2"/>
  <c r="F62" i="2"/>
  <c r="I62" i="2"/>
  <c r="K62" i="2"/>
  <c r="N62" i="2"/>
  <c r="I63" i="2"/>
  <c r="K63" i="2"/>
  <c r="N63" i="2"/>
  <c r="N64" i="2"/>
  <c r="N90" i="2"/>
  <c r="K64" i="2"/>
  <c r="K90" i="2"/>
  <c r="I64" i="2"/>
  <c r="I90" i="2"/>
  <c r="F64" i="2"/>
  <c r="F90" i="2"/>
  <c r="P66" i="2"/>
  <c r="P91" i="2"/>
  <c r="P89" i="2"/>
  <c r="P87" i="2"/>
  <c r="P86" i="2"/>
  <c r="P83" i="2"/>
  <c r="P81" i="2"/>
  <c r="P80" i="2"/>
  <c r="N66" i="2"/>
  <c r="N91" i="2"/>
  <c r="N89" i="2"/>
  <c r="N87" i="2"/>
  <c r="N86" i="2"/>
  <c r="N83" i="2"/>
  <c r="N81" i="2"/>
  <c r="N18" i="2"/>
  <c r="N19" i="2"/>
  <c r="N20" i="2"/>
  <c r="N21" i="2"/>
  <c r="N22" i="2"/>
  <c r="N80" i="2"/>
  <c r="K66" i="2"/>
  <c r="K91" i="2"/>
  <c r="K89" i="2"/>
  <c r="K87" i="2"/>
  <c r="K86" i="2"/>
  <c r="K83" i="2"/>
  <c r="K81" i="2"/>
  <c r="K80" i="2"/>
  <c r="I66" i="2"/>
  <c r="I91" i="2"/>
  <c r="I89" i="2"/>
  <c r="I87" i="2"/>
  <c r="I86" i="2"/>
  <c r="I83" i="2"/>
  <c r="I81" i="2"/>
  <c r="I80" i="2"/>
  <c r="F80" i="2"/>
  <c r="F66" i="2"/>
  <c r="F91" i="2"/>
  <c r="F89" i="2"/>
  <c r="F87" i="2"/>
  <c r="F52" i="2"/>
  <c r="F86" i="2"/>
  <c r="F83" i="2"/>
  <c r="F81" i="2"/>
  <c r="B85" i="2"/>
  <c r="B84" i="2"/>
  <c r="A87" i="2"/>
  <c r="A80" i="2"/>
  <c r="U52" i="2"/>
  <c r="U47" i="2"/>
  <c r="U48" i="2"/>
  <c r="U54" i="2"/>
  <c r="U70" i="2"/>
  <c r="U71" i="2"/>
  <c r="U59" i="2"/>
  <c r="U60" i="2"/>
  <c r="U72" i="2"/>
  <c r="U36" i="2"/>
  <c r="U73" i="2"/>
  <c r="U75" i="2"/>
  <c r="U28" i="2"/>
  <c r="U22" i="2"/>
  <c r="U63" i="2"/>
  <c r="U64" i="2"/>
  <c r="U66" i="2"/>
  <c r="L34" i="2"/>
  <c r="L28" i="2"/>
  <c r="L21" i="2"/>
  <c r="L20" i="2"/>
  <c r="L19" i="2"/>
  <c r="L18" i="2"/>
  <c r="G36" i="2"/>
  <c r="G34" i="2"/>
  <c r="G33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Y30" i="2"/>
  <c r="Z32" i="2"/>
  <c r="G32" i="2"/>
  <c r="G31" i="2"/>
  <c r="G30" i="2"/>
  <c r="G28" i="2"/>
  <c r="G21" i="2"/>
  <c r="G20" i="2"/>
  <c r="G19" i="2"/>
  <c r="G18" i="2"/>
</calcChain>
</file>

<file path=xl/sharedStrings.xml><?xml version="1.0" encoding="utf-8"?>
<sst xmlns="http://schemas.openxmlformats.org/spreadsheetml/2006/main" count="143" uniqueCount="99">
  <si>
    <t>Simplified Income Statement (in '000s)</t>
  </si>
  <si>
    <t>GPA Scaling: $431,000 divided by $20,064 =</t>
  </si>
  <si>
    <t>Avg Dealer</t>
  </si>
  <si>
    <t>SALES</t>
  </si>
  <si>
    <t>%sales</t>
  </si>
  <si>
    <t>Brand</t>
  </si>
  <si>
    <t>Haig Multiple</t>
  </si>
  <si>
    <t>Dealers &amp; JVs</t>
  </si>
  <si>
    <t>Weighting</t>
  </si>
  <si>
    <t>New Vehicles</t>
  </si>
  <si>
    <t>Audi</t>
  </si>
  <si>
    <t>Used Vehicles</t>
  </si>
  <si>
    <t>BMW</t>
  </si>
  <si>
    <t>Parts/Service</t>
  </si>
  <si>
    <t>Fisker</t>
  </si>
  <si>
    <t>Finance, Insurance, Leasing</t>
  </si>
  <si>
    <t>Honda</t>
  </si>
  <si>
    <t>TOTAL SALES REVENUE</t>
  </si>
  <si>
    <t>Infiniti</t>
  </si>
  <si>
    <t>margin</t>
  </si>
  <si>
    <t>Lexus</t>
  </si>
  <si>
    <t>Mini</t>
  </si>
  <si>
    <t>Nissan</t>
  </si>
  <si>
    <t>Rolls Royce</t>
  </si>
  <si>
    <t>Scion</t>
  </si>
  <si>
    <t>TOTAL GROSS PROFIT</t>
  </si>
  <si>
    <t>Toyota</t>
  </si>
  <si>
    <t>Volkswagen</t>
  </si>
  <si>
    <t>Advertising</t>
  </si>
  <si>
    <t>Employee Commissions</t>
  </si>
  <si>
    <t>Employee Salaries</t>
  </si>
  <si>
    <t>AVG MULTIPLE</t>
  </si>
  <si>
    <t xml:space="preserve">General &amp; Admin </t>
  </si>
  <si>
    <t>TOTAL EXPENSES</t>
  </si>
  <si>
    <t>EARNINGS BEFORE INTEREST &amp; TAXES</t>
  </si>
  <si>
    <t>Simplified Balance Sheet (in '000s)</t>
  </si>
  <si>
    <t>Cash, etc.</t>
  </si>
  <si>
    <t>Accounts Receivable</t>
  </si>
  <si>
    <t>New Cars</t>
  </si>
  <si>
    <t>Used Cars</t>
  </si>
  <si>
    <t>Parts, etc.</t>
  </si>
  <si>
    <t>Total Inventory</t>
  </si>
  <si>
    <t>TOTAL CURRENT ASSETS</t>
  </si>
  <si>
    <t>Building and Equipment</t>
  </si>
  <si>
    <t>TOTAL ASSETS</t>
  </si>
  <si>
    <t>Vehicle debt</t>
  </si>
  <si>
    <t>Accounts payable</t>
  </si>
  <si>
    <t>Other short-term</t>
  </si>
  <si>
    <t>Long-term liabilities</t>
  </si>
  <si>
    <t>TOTAL LIABILITIES</t>
  </si>
  <si>
    <t>Equity</t>
  </si>
  <si>
    <t>Retained Earnings</t>
  </si>
  <si>
    <t>TOTAL NET WORTH</t>
  </si>
  <si>
    <t>SOLUTION</t>
  </si>
  <si>
    <t xml:space="preserve">   EBIT Multiple</t>
  </si>
  <si>
    <t>MIINUS LIABILITIES</t>
  </si>
  <si>
    <t>ENTERPRISE VALUE</t>
  </si>
  <si>
    <t>Intangible assets and Goodwill</t>
  </si>
  <si>
    <t>PLUS Blue Sky Value (EBIT x MULTIPLE)</t>
  </si>
  <si>
    <t xml:space="preserve">     MINUS 50% OF BUILDING &amp; EQUIPMENT</t>
  </si>
  <si>
    <t>scale by:</t>
  </si>
  <si>
    <t>GPA_4%</t>
  </si>
  <si>
    <t>GPA_AVG</t>
  </si>
  <si>
    <t>GPA_2.5x</t>
  </si>
  <si>
    <t>AutoCanada</t>
  </si>
  <si>
    <t xml:space="preserve">              Average Dealer Scaled</t>
  </si>
  <si>
    <t xml:space="preserve">    GPA 4% EBIT, with acquisition</t>
  </si>
  <si>
    <t>CALCULATIONS AND OTHER DATA</t>
  </si>
  <si>
    <t>TOTAL FIXED ASSETS</t>
  </si>
  <si>
    <t>EBIT</t>
  </si>
  <si>
    <t>CURRENT ASSETS</t>
  </si>
  <si>
    <t>FIXED ASSETS</t>
  </si>
  <si>
    <t>LIABILITIES</t>
  </si>
  <si>
    <t>NET WORTH</t>
  </si>
  <si>
    <t>LIABILITIES AND NET WORTH</t>
  </si>
  <si>
    <t xml:space="preserve">     Building and Equipment</t>
  </si>
  <si>
    <t>GPA_Avg</t>
  </si>
  <si>
    <t xml:space="preserve">     - 50% BLDG &amp; EQUIP</t>
  </si>
  <si>
    <t xml:space="preserve">     Intangible assets &amp; Goodwill</t>
  </si>
  <si>
    <t>PLUS (EBIT x MULTIPLE)</t>
  </si>
  <si>
    <t xml:space="preserve">              5x</t>
  </si>
  <si>
    <t xml:space="preserve">             15x</t>
  </si>
  <si>
    <t>EBIT MULTIPLE (BLUE SKY)</t>
  </si>
  <si>
    <t>EBIT MULTIPLE</t>
  </si>
  <si>
    <t xml:space="preserve">                5x</t>
  </si>
  <si>
    <t xml:space="preserve">               15x</t>
  </si>
  <si>
    <t>These 5 columns show (1) figures for the average Quebec dealer; (2) these figures scaled to the $431M sales of GPA, so 21.5 times larger, called GPA_AVG;</t>
  </si>
  <si>
    <t>15x</t>
  </si>
  <si>
    <t xml:space="preserve">Note that this is a hypothetical scenario, for discussion purposes only, to illustrate how consolidators use arbitrage (between public and private multiples) </t>
  </si>
  <si>
    <t>GPA_Public</t>
  </si>
  <si>
    <t>HIGHLIGHTS FOR POWERPOINT ($000)</t>
  </si>
  <si>
    <t xml:space="preserve">SALES (in '000s) </t>
  </si>
  <si>
    <t xml:space="preserve">TOTAL LIABILITIES &amp; NET WORTH </t>
  </si>
  <si>
    <t>All figures are hypothetical, for discussion purposes only</t>
  </si>
  <si>
    <t>Appendix TN-2a Detailed calculations, possible consolidation scenario for GPA</t>
  </si>
  <si>
    <t>(3) the GPA_AVG balance sheet but with the gross margin adjusted to achieve the 4% EBIT of AutoCanada; (4) an acquisition scenario whereby GPA_4%</t>
  </si>
  <si>
    <t>sells 49% of its business for $110M and invests $75M in acquisitions and $35M to upgrade the acquired dealers; this allows GPA to grow to 2.5x its size</t>
  </si>
  <si>
    <t>but maintain comparable profitability to AutoCanada (EBIT 4% of sales). This is compared with AutoCanada at the end of 2013.</t>
  </si>
  <si>
    <t>to unlock value. This scenario does not reflect the actual value of Groupe Park Avenue.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</si>
</sst>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_-* #,##0.00_-;\-* #,##0.00_-;_-* &quot;-&quot;??_-;_-@_-"/>
    <numFmt numFmtId="168" formatCode="_-* #,##0.0_-;\-* #,##0.0_-;_-* &quot;-&quot;??_-;_-@_-"/>
    <numFmt numFmtId="169" formatCode="#,##0_ ;\-#,##0\ "/>
    <numFmt numFmtId="170" formatCode="0_);\(0\)"/>
    <numFmt numFmtId="171" formatCode="0.0%"/>
    <numFmt numFmtId="172" formatCode="_(* #,##0.00_);_(* \(#,##0.00\);_(* &quot;-&quot;??_);_(@_)"/>
    <numFmt numFmtId="173" formatCode="0.0"/>
    <numFmt numFmtId="174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0"/>
      <name val="Times New Roman"/>
    </font>
    <font>
      <sz val="12"/>
      <name val="Times New Roman"/>
    </font>
    <font>
      <b/>
      <sz val="12"/>
      <name val="Times New Roman"/>
    </font>
    <font>
      <i/>
      <sz val="12"/>
      <color theme="1"/>
      <name val="Times New Roman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3.5"/>
      <color theme="1"/>
      <name val="Times New Roman"/>
    </font>
    <font>
      <sz val="13.5"/>
      <color theme="1"/>
      <name val="Times New Roman"/>
    </font>
    <font>
      <sz val="13.5"/>
      <name val="Times New Roman"/>
    </font>
    <font>
      <b/>
      <sz val="15"/>
      <color theme="1"/>
      <name val="Times New Roman"/>
    </font>
    <font>
      <i/>
      <sz val="13.5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08">
    <xf numFmtId="0" fontId="0" fillId="0" borderId="0"/>
    <xf numFmtId="16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24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169" fontId="4" fillId="0" borderId="4" xfId="1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Border="1" applyAlignment="1">
      <alignment horizontal="center"/>
    </xf>
    <xf numFmtId="164" fontId="4" fillId="0" borderId="4" xfId="1" applyNumberFormat="1" applyFont="1" applyBorder="1"/>
    <xf numFmtId="0" fontId="4" fillId="0" borderId="0" xfId="0" applyFont="1" applyBorder="1"/>
    <xf numFmtId="164" fontId="4" fillId="0" borderId="5" xfId="1" applyNumberFormat="1" applyFont="1" applyBorder="1"/>
    <xf numFmtId="0" fontId="4" fillId="0" borderId="4" xfId="0" applyFont="1" applyBorder="1"/>
    <xf numFmtId="0" fontId="4" fillId="0" borderId="5" xfId="0" applyFont="1" applyBorder="1"/>
    <xf numFmtId="164" fontId="4" fillId="0" borderId="4" xfId="0" applyNumberFormat="1" applyFont="1" applyBorder="1"/>
    <xf numFmtId="0" fontId="4" fillId="0" borderId="0" xfId="0" applyFont="1" applyBorder="1" applyAlignment="1">
      <alignment horizontal="right"/>
    </xf>
    <xf numFmtId="164" fontId="4" fillId="0" borderId="5" xfId="0" applyNumberFormat="1" applyFont="1" applyBorder="1"/>
    <xf numFmtId="9" fontId="4" fillId="0" borderId="0" xfId="2" applyNumberFormat="1" applyFont="1" applyBorder="1"/>
    <xf numFmtId="0" fontId="4" fillId="0" borderId="6" xfId="0" applyFont="1" applyBorder="1"/>
    <xf numFmtId="164" fontId="4" fillId="0" borderId="6" xfId="1" applyNumberFormat="1" applyFont="1" applyBorder="1"/>
    <xf numFmtId="164" fontId="4" fillId="0" borderId="7" xfId="1" applyNumberFormat="1" applyFont="1" applyBorder="1"/>
    <xf numFmtId="9" fontId="4" fillId="0" borderId="6" xfId="2" applyNumberFormat="1" applyFont="1" applyBorder="1"/>
    <xf numFmtId="164" fontId="4" fillId="0" borderId="8" xfId="1" applyNumberFormat="1" applyFont="1" applyBorder="1"/>
    <xf numFmtId="164" fontId="4" fillId="0" borderId="0" xfId="1" applyNumberFormat="1" applyFont="1"/>
    <xf numFmtId="170" fontId="4" fillId="0" borderId="0" xfId="0" applyNumberFormat="1" applyFont="1"/>
    <xf numFmtId="164" fontId="4" fillId="0" borderId="6" xfId="0" applyNumberFormat="1" applyFont="1" applyBorder="1"/>
    <xf numFmtId="164" fontId="4" fillId="0" borderId="7" xfId="0" applyNumberFormat="1" applyFont="1" applyBorder="1"/>
    <xf numFmtId="0" fontId="4" fillId="0" borderId="6" xfId="0" applyFont="1" applyBorder="1" applyAlignment="1">
      <alignment horizontal="right"/>
    </xf>
    <xf numFmtId="164" fontId="4" fillId="0" borderId="8" xfId="0" applyNumberFormat="1" applyFont="1" applyBorder="1"/>
    <xf numFmtId="171" fontId="4" fillId="0" borderId="6" xfId="2" applyNumberFormat="1" applyFont="1" applyBorder="1"/>
    <xf numFmtId="171" fontId="4" fillId="0" borderId="0" xfId="2" applyNumberFormat="1" applyFont="1" applyBorder="1"/>
    <xf numFmtId="164" fontId="3" fillId="0" borderId="1" xfId="0" applyNumberFormat="1" applyFont="1" applyBorder="1"/>
    <xf numFmtId="0" fontId="4" fillId="0" borderId="2" xfId="0" applyFont="1" applyBorder="1"/>
    <xf numFmtId="164" fontId="3" fillId="0" borderId="3" xfId="0" applyNumberFormat="1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0" xfId="0" applyFont="1" applyFill="1"/>
    <xf numFmtId="164" fontId="4" fillId="0" borderId="4" xfId="0" applyNumberFormat="1" applyFont="1" applyFill="1" applyBorder="1"/>
    <xf numFmtId="0" fontId="4" fillId="0" borderId="0" xfId="0" applyFont="1" applyFill="1" applyBorder="1"/>
    <xf numFmtId="164" fontId="4" fillId="0" borderId="5" xfId="1" applyNumberFormat="1" applyFont="1" applyFill="1" applyBorder="1"/>
    <xf numFmtId="164" fontId="4" fillId="0" borderId="0" xfId="0" applyNumberFormat="1" applyFont="1" applyFill="1"/>
    <xf numFmtId="164" fontId="4" fillId="0" borderId="5" xfId="0" applyNumberFormat="1" applyFont="1" applyFill="1" applyBorder="1"/>
    <xf numFmtId="0" fontId="4" fillId="0" borderId="6" xfId="0" applyFont="1" applyFill="1" applyBorder="1"/>
    <xf numFmtId="164" fontId="4" fillId="0" borderId="7" xfId="0" applyNumberFormat="1" applyFont="1" applyFill="1" applyBorder="1"/>
    <xf numFmtId="164" fontId="4" fillId="0" borderId="8" xfId="1" applyNumberFormat="1" applyFont="1" applyFill="1" applyBorder="1"/>
    <xf numFmtId="164" fontId="5" fillId="0" borderId="5" xfId="0" applyNumberFormat="1" applyFont="1" applyBorder="1"/>
    <xf numFmtId="164" fontId="4" fillId="0" borderId="0" xfId="0" applyNumberFormat="1" applyFont="1"/>
    <xf numFmtId="164" fontId="4" fillId="0" borderId="0" xfId="0" applyNumberFormat="1" applyFont="1" applyBorder="1"/>
    <xf numFmtId="173" fontId="4" fillId="0" borderId="5" xfId="0" applyNumberFormat="1" applyFont="1" applyBorder="1" applyAlignment="1">
      <alignment horizontal="center"/>
    </xf>
    <xf numFmtId="164" fontId="4" fillId="0" borderId="0" xfId="0" applyNumberFormat="1" applyFont="1" applyFill="1" applyBorder="1"/>
    <xf numFmtId="1" fontId="8" fillId="2" borderId="4" xfId="0" applyNumberFormat="1" applyFont="1" applyFill="1" applyBorder="1" applyAlignment="1">
      <alignment horizontal="center"/>
    </xf>
    <xf numFmtId="174" fontId="4" fillId="0" borderId="0" xfId="1" applyNumberFormat="1" applyFont="1" applyBorder="1"/>
    <xf numFmtId="0" fontId="3" fillId="0" borderId="9" xfId="0" applyFont="1" applyBorder="1"/>
    <xf numFmtId="1" fontId="4" fillId="0" borderId="10" xfId="0" applyNumberFormat="1" applyFont="1" applyBorder="1" applyAlignment="1">
      <alignment horizontal="center"/>
    </xf>
    <xf numFmtId="0" fontId="4" fillId="0" borderId="10" xfId="0" applyFont="1" applyBorder="1"/>
    <xf numFmtId="164" fontId="4" fillId="0" borderId="10" xfId="1" applyNumberFormat="1" applyFont="1" applyBorder="1"/>
    <xf numFmtId="164" fontId="4" fillId="0" borderId="11" xfId="1" applyNumberFormat="1" applyFont="1" applyBorder="1"/>
    <xf numFmtId="164" fontId="4" fillId="0" borderId="11" xfId="0" applyNumberFormat="1" applyFont="1" applyBorder="1"/>
    <xf numFmtId="0" fontId="4" fillId="0" borderId="9" xfId="0" applyFont="1" applyBorder="1"/>
    <xf numFmtId="164" fontId="4" fillId="0" borderId="10" xfId="1" applyNumberFormat="1" applyFont="1" applyFill="1" applyBorder="1"/>
    <xf numFmtId="164" fontId="4" fillId="0" borderId="10" xfId="0" applyNumberFormat="1" applyFont="1" applyFill="1" applyBorder="1"/>
    <xf numFmtId="164" fontId="4" fillId="0" borderId="11" xfId="1" applyNumberFormat="1" applyFont="1" applyFill="1" applyBorder="1"/>
    <xf numFmtId="164" fontId="4" fillId="0" borderId="10" xfId="0" applyNumberFormat="1" applyFont="1" applyBorder="1"/>
    <xf numFmtId="164" fontId="5" fillId="0" borderId="10" xfId="0" applyNumberFormat="1" applyFont="1" applyBorder="1"/>
    <xf numFmtId="0" fontId="9" fillId="3" borderId="0" xfId="0" applyFont="1" applyFill="1"/>
    <xf numFmtId="0" fontId="10" fillId="3" borderId="9" xfId="0" applyFont="1" applyFill="1" applyBorder="1"/>
    <xf numFmtId="0" fontId="9" fillId="3" borderId="10" xfId="0" applyFont="1" applyFill="1" applyBorder="1" applyAlignment="1">
      <alignment horizontal="center"/>
    </xf>
    <xf numFmtId="168" fontId="9" fillId="3" borderId="0" xfId="1" applyNumberFormat="1" applyFont="1" applyFill="1"/>
    <xf numFmtId="1" fontId="9" fillId="3" borderId="10" xfId="0" applyNumberFormat="1" applyFont="1" applyFill="1" applyBorder="1" applyAlignment="1">
      <alignment horizontal="center"/>
    </xf>
    <xf numFmtId="0" fontId="9" fillId="3" borderId="10" xfId="0" applyFont="1" applyFill="1" applyBorder="1"/>
    <xf numFmtId="164" fontId="9" fillId="3" borderId="10" xfId="1" applyNumberFormat="1" applyFont="1" applyFill="1" applyBorder="1"/>
    <xf numFmtId="164" fontId="9" fillId="3" borderId="11" xfId="1" applyNumberFormat="1" applyFont="1" applyFill="1" applyBorder="1"/>
    <xf numFmtId="164" fontId="9" fillId="3" borderId="11" xfId="0" applyNumberFormat="1" applyFont="1" applyFill="1" applyBorder="1"/>
    <xf numFmtId="0" fontId="9" fillId="3" borderId="0" xfId="0" applyFont="1" applyFill="1" applyBorder="1"/>
    <xf numFmtId="0" fontId="9" fillId="3" borderId="9" xfId="0" applyFont="1" applyFill="1" applyBorder="1"/>
    <xf numFmtId="164" fontId="9" fillId="3" borderId="10" xfId="0" applyNumberFormat="1" applyFont="1" applyFill="1" applyBorder="1"/>
    <xf numFmtId="164" fontId="9" fillId="3" borderId="0" xfId="0" applyNumberFormat="1" applyFont="1" applyFill="1"/>
    <xf numFmtId="164" fontId="9" fillId="3" borderId="6" xfId="0" applyNumberFormat="1" applyFont="1" applyFill="1" applyBorder="1"/>
    <xf numFmtId="166" fontId="4" fillId="0" borderId="0" xfId="0" applyNumberFormat="1" applyFont="1"/>
    <xf numFmtId="0" fontId="11" fillId="0" borderId="0" xfId="0" applyFont="1"/>
    <xf numFmtId="164" fontId="11" fillId="0" borderId="0" xfId="0" applyNumberFormat="1" applyFont="1"/>
    <xf numFmtId="164" fontId="12" fillId="0" borderId="0" xfId="0" applyNumberFormat="1" applyFont="1"/>
    <xf numFmtId="164" fontId="12" fillId="0" borderId="2" xfId="0" applyNumberFormat="1" applyFont="1" applyBorder="1"/>
    <xf numFmtId="164" fontId="12" fillId="0" borderId="6" xfId="0" applyNumberFormat="1" applyFont="1" applyBorder="1"/>
    <xf numFmtId="164" fontId="13" fillId="0" borderId="0" xfId="0" applyNumberFormat="1" applyFont="1" applyBorder="1"/>
    <xf numFmtId="164" fontId="12" fillId="0" borderId="12" xfId="0" applyNumberFormat="1" applyFont="1" applyBorder="1"/>
    <xf numFmtId="164" fontId="12" fillId="0" borderId="0" xfId="0" applyNumberFormat="1" applyFont="1" applyBorder="1"/>
    <xf numFmtId="164" fontId="12" fillId="0" borderId="0" xfId="0" applyNumberFormat="1" applyFont="1" applyBorder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2" xfId="0" applyFont="1" applyBorder="1"/>
    <xf numFmtId="0" fontId="12" fillId="0" borderId="6" xfId="0" applyFont="1" applyBorder="1"/>
    <xf numFmtId="0" fontId="13" fillId="0" borderId="0" xfId="0" applyFont="1" applyBorder="1"/>
    <xf numFmtId="0" fontId="12" fillId="0" borderId="12" xfId="0" applyFont="1" applyBorder="1"/>
    <xf numFmtId="0" fontId="12" fillId="0" borderId="0" xfId="0" applyFont="1" applyBorder="1"/>
    <xf numFmtId="0" fontId="3" fillId="0" borderId="0" xfId="0" applyFont="1" applyBorder="1"/>
    <xf numFmtId="164" fontId="4" fillId="0" borderId="0" xfId="1" applyNumberFormat="1" applyFont="1" applyBorder="1"/>
    <xf numFmtId="164" fontId="4" fillId="0" borderId="0" xfId="1" applyNumberFormat="1" applyFont="1" applyFill="1" applyBorder="1"/>
    <xf numFmtId="164" fontId="5" fillId="0" borderId="0" xfId="0" applyNumberFormat="1" applyFont="1" applyBorder="1"/>
    <xf numFmtId="173" fontId="8" fillId="0" borderId="5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18" fillId="0" borderId="0" xfId="0" applyFont="1"/>
    <xf numFmtId="0" fontId="19" fillId="0" borderId="0" xfId="0" applyFont="1"/>
    <xf numFmtId="1" fontId="9" fillId="3" borderId="5" xfId="0" applyNumberFormat="1" applyFont="1" applyFill="1" applyBorder="1" applyAlignment="1">
      <alignment horizontal="center"/>
    </xf>
    <xf numFmtId="169" fontId="4" fillId="0" borderId="0" xfId="1" applyNumberFormat="1" applyFont="1" applyBorder="1" applyAlignment="1">
      <alignment horizontal="center"/>
    </xf>
    <xf numFmtId="173" fontId="4" fillId="0" borderId="0" xfId="0" applyNumberFormat="1" applyFont="1" applyBorder="1" applyAlignment="1">
      <alignment horizontal="center"/>
    </xf>
    <xf numFmtId="1" fontId="8" fillId="2" borderId="0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12" fillId="0" borderId="0" xfId="0" applyNumberFormat="1" applyFont="1"/>
    <xf numFmtId="1" fontId="3" fillId="0" borderId="0" xfId="0" applyNumberFormat="1" applyFont="1" applyBorder="1" applyAlignment="1">
      <alignment horizontal="center"/>
    </xf>
    <xf numFmtId="164" fontId="4" fillId="0" borderId="0" xfId="1" applyNumberFormat="1" applyFont="1" applyBorder="1" applyAlignment="1">
      <alignment horizontal="left" textRotation="180"/>
    </xf>
  </cellXfs>
  <cellStyles count="308">
    <cellStyle name="Comma 2" xfId="3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" xfId="32" builtinId="8" hidden="1"/>
    <cellStyle name="Lien hypertexte" xfId="34" builtinId="8" hidden="1"/>
    <cellStyle name="Lien hypertexte" xfId="36" builtinId="8" hidden="1"/>
    <cellStyle name="Lien hypertexte" xfId="38" builtinId="8" hidden="1"/>
    <cellStyle name="Lien hypertexte" xfId="40" builtinId="8" hidden="1"/>
    <cellStyle name="Lien hypertexte" xfId="42" builtinId="8" hidden="1"/>
    <cellStyle name="Lien hypertexte" xfId="44" builtinId="8" hidden="1"/>
    <cellStyle name="Lien hypertexte" xfId="46" builtinId="8" hidden="1"/>
    <cellStyle name="Lien hypertexte" xfId="48" builtinId="8" hidden="1"/>
    <cellStyle name="Lien hypertexte" xfId="50" builtinId="8" hidden="1"/>
    <cellStyle name="Lien hypertexte" xfId="52" builtinId="8" hidden="1"/>
    <cellStyle name="Lien hypertexte" xfId="54" builtinId="8" hidden="1"/>
    <cellStyle name="Lien hypertexte" xfId="56" builtinId="8" hidden="1"/>
    <cellStyle name="Lien hypertexte" xfId="58" builtinId="8" hidden="1"/>
    <cellStyle name="Lien hypertexte" xfId="60" builtinId="8" hidden="1"/>
    <cellStyle name="Lien hypertexte" xfId="62" builtinId="8" hidden="1"/>
    <cellStyle name="Lien hypertexte" xfId="64" builtinId="8" hidden="1"/>
    <cellStyle name="Lien hypertexte" xfId="66" builtinId="8" hidden="1"/>
    <cellStyle name="Lien hypertexte" xfId="68" builtinId="8" hidden="1"/>
    <cellStyle name="Lien hypertexte" xfId="70" builtinId="8" hidden="1"/>
    <cellStyle name="Lien hypertexte" xfId="72" builtinId="8" hidden="1"/>
    <cellStyle name="Lien hypertexte" xfId="74" builtinId="8" hidden="1"/>
    <cellStyle name="Lien hypertexte" xfId="76" builtinId="8" hidden="1"/>
    <cellStyle name="Lien hypertexte" xfId="78" builtinId="8" hidden="1"/>
    <cellStyle name="Lien hypertexte" xfId="80" builtinId="8" hidden="1"/>
    <cellStyle name="Lien hypertexte" xfId="82" builtinId="8" hidden="1"/>
    <cellStyle name="Lien hypertexte" xfId="84" builtinId="8" hidden="1"/>
    <cellStyle name="Lien hypertexte" xfId="86" builtinId="8" hidden="1"/>
    <cellStyle name="Lien hypertexte" xfId="88" builtinId="8" hidden="1"/>
    <cellStyle name="Lien hypertexte" xfId="90" builtinId="8" hidden="1"/>
    <cellStyle name="Lien hypertexte" xfId="92" builtinId="8" hidden="1"/>
    <cellStyle name="Lien hypertexte" xfId="94" builtinId="8" hidden="1"/>
    <cellStyle name="Lien hypertexte" xfId="96" builtinId="8" hidden="1"/>
    <cellStyle name="Lien hypertexte" xfId="98" builtinId="8" hidden="1"/>
    <cellStyle name="Lien hypertexte" xfId="100" builtinId="8" hidden="1"/>
    <cellStyle name="Lien hypertexte" xfId="102" builtinId="8" hidden="1"/>
    <cellStyle name="Lien hypertexte" xfId="104" builtinId="8" hidden="1"/>
    <cellStyle name="Lien hypertexte" xfId="106" builtinId="8" hidden="1"/>
    <cellStyle name="Lien hypertexte" xfId="108" builtinId="8" hidden="1"/>
    <cellStyle name="Lien hypertexte" xfId="110" builtinId="8" hidden="1"/>
    <cellStyle name="Lien hypertexte" xfId="112" builtinId="8" hidden="1"/>
    <cellStyle name="Lien hypertexte" xfId="114" builtinId="8" hidden="1"/>
    <cellStyle name="Lien hypertexte" xfId="116" builtinId="8" hidden="1"/>
    <cellStyle name="Lien hypertexte" xfId="118" builtinId="8" hidden="1"/>
    <cellStyle name="Lien hypertexte" xfId="120" builtinId="8" hidden="1"/>
    <cellStyle name="Lien hypertexte" xfId="122" builtinId="8" hidden="1"/>
    <cellStyle name="Lien hypertexte" xfId="124" builtinId="8" hidden="1"/>
    <cellStyle name="Lien hypertexte" xfId="126" builtinId="8" hidden="1"/>
    <cellStyle name="Lien hypertexte" xfId="128" builtinId="8" hidden="1"/>
    <cellStyle name="Lien hypertexte" xfId="130" builtinId="8" hidden="1"/>
    <cellStyle name="Lien hypertexte" xfId="132" builtinId="8" hidden="1"/>
    <cellStyle name="Lien hypertexte" xfId="134" builtinId="8" hidden="1"/>
    <cellStyle name="Lien hypertexte" xfId="136" builtinId="8" hidden="1"/>
    <cellStyle name="Lien hypertexte" xfId="138" builtinId="8" hidden="1"/>
    <cellStyle name="Lien hypertexte" xfId="140" builtinId="8" hidden="1"/>
    <cellStyle name="Lien hypertexte" xfId="142" builtinId="8" hidden="1"/>
    <cellStyle name="Lien hypertexte" xfId="144" builtinId="8" hidden="1"/>
    <cellStyle name="Lien hypertexte" xfId="146" builtinId="8" hidden="1"/>
    <cellStyle name="Lien hypertexte" xfId="148" builtinId="8" hidden="1"/>
    <cellStyle name="Lien hypertexte" xfId="150" builtinId="8" hidden="1"/>
    <cellStyle name="Lien hypertexte" xfId="152" builtinId="8" hidden="1"/>
    <cellStyle name="Lien hypertexte" xfId="154" builtinId="8" hidden="1"/>
    <cellStyle name="Lien hypertexte" xfId="156" builtinId="8" hidden="1"/>
    <cellStyle name="Lien hypertexte" xfId="158" builtinId="8" hidden="1"/>
    <cellStyle name="Lien hypertexte" xfId="160" builtinId="8" hidden="1"/>
    <cellStyle name="Lien hypertexte" xfId="162" builtinId="8" hidden="1"/>
    <cellStyle name="Lien hypertexte" xfId="164" builtinId="8" hidden="1"/>
    <cellStyle name="Lien hypertexte" xfId="166" builtinId="8" hidden="1"/>
    <cellStyle name="Lien hypertexte" xfId="168" builtinId="8" hidden="1"/>
    <cellStyle name="Lien hypertexte" xfId="170" builtinId="8" hidden="1"/>
    <cellStyle name="Lien hypertexte" xfId="172" builtinId="8" hidden="1"/>
    <cellStyle name="Lien hypertexte" xfId="174" builtinId="8" hidden="1"/>
    <cellStyle name="Lien hypertexte" xfId="176" builtinId="8" hidden="1"/>
    <cellStyle name="Lien hypertexte" xfId="178" builtinId="8" hidden="1"/>
    <cellStyle name="Lien hypertexte" xfId="180" builtinId="8" hidden="1"/>
    <cellStyle name="Lien hypertexte" xfId="182" builtinId="8" hidden="1"/>
    <cellStyle name="Lien hypertexte" xfId="184" builtinId="8" hidden="1"/>
    <cellStyle name="Lien hypertexte" xfId="186" builtinId="8" hidden="1"/>
    <cellStyle name="Lien hypertexte" xfId="188" builtinId="8" hidden="1"/>
    <cellStyle name="Lien hypertexte" xfId="190" builtinId="8" hidden="1"/>
    <cellStyle name="Lien hypertexte" xfId="192" builtinId="8" hidden="1"/>
    <cellStyle name="Lien hypertexte" xfId="194" builtinId="8" hidden="1"/>
    <cellStyle name="Lien hypertexte" xfId="196" builtinId="8" hidden="1"/>
    <cellStyle name="Lien hypertexte" xfId="198" builtinId="8" hidden="1"/>
    <cellStyle name="Lien hypertexte" xfId="200" builtinId="8" hidden="1"/>
    <cellStyle name="Lien hypertexte" xfId="202" builtinId="8" hidden="1"/>
    <cellStyle name="Lien hypertexte" xfId="204" builtinId="8" hidden="1"/>
    <cellStyle name="Lien hypertexte" xfId="206" builtinId="8" hidden="1"/>
    <cellStyle name="Lien hypertexte" xfId="208" builtinId="8" hidden="1"/>
    <cellStyle name="Lien hypertexte" xfId="210" builtinId="8" hidden="1"/>
    <cellStyle name="Lien hypertexte" xfId="212" builtinId="8" hidden="1"/>
    <cellStyle name="Lien hypertexte" xfId="214" builtinId="8" hidden="1"/>
    <cellStyle name="Lien hypertexte" xfId="216" builtinId="8" hidden="1"/>
    <cellStyle name="Lien hypertexte" xfId="218" builtinId="8" hidden="1"/>
    <cellStyle name="Lien hypertexte" xfId="220" builtinId="8" hidden="1"/>
    <cellStyle name="Lien hypertexte" xfId="222" builtinId="8" hidden="1"/>
    <cellStyle name="Lien hypertexte" xfId="224" builtinId="8" hidden="1"/>
    <cellStyle name="Lien hypertexte" xfId="226" builtinId="8" hidden="1"/>
    <cellStyle name="Lien hypertexte" xfId="228" builtinId="8" hidden="1"/>
    <cellStyle name="Lien hypertexte" xfId="230" builtinId="8" hidden="1"/>
    <cellStyle name="Lien hypertexte" xfId="232" builtinId="8" hidden="1"/>
    <cellStyle name="Lien hypertexte" xfId="234" builtinId="8" hidden="1"/>
    <cellStyle name="Lien hypertexte" xfId="236" builtinId="8" hidden="1"/>
    <cellStyle name="Lien hypertexte" xfId="238" builtinId="8" hidden="1"/>
    <cellStyle name="Lien hypertexte" xfId="240" builtinId="8" hidden="1"/>
    <cellStyle name="Lien hypertexte" xfId="242" builtinId="8" hidden="1"/>
    <cellStyle name="Lien hypertexte" xfId="244" builtinId="8" hidden="1"/>
    <cellStyle name="Lien hypertexte" xfId="246" builtinId="8" hidden="1"/>
    <cellStyle name="Lien hypertexte" xfId="248" builtinId="8" hidden="1"/>
    <cellStyle name="Lien hypertexte" xfId="250" builtinId="8" hidden="1"/>
    <cellStyle name="Lien hypertexte" xfId="252" builtinId="8" hidden="1"/>
    <cellStyle name="Lien hypertexte" xfId="254" builtinId="8" hidden="1"/>
    <cellStyle name="Lien hypertexte" xfId="256" builtinId="8" hidden="1"/>
    <cellStyle name="Lien hypertexte" xfId="258" builtinId="8" hidden="1"/>
    <cellStyle name="Lien hypertexte" xfId="260" builtinId="8" hidden="1"/>
    <cellStyle name="Lien hypertexte" xfId="262" builtinId="8" hidden="1"/>
    <cellStyle name="Lien hypertexte" xfId="264" builtinId="8" hidden="1"/>
    <cellStyle name="Lien hypertexte" xfId="266" builtinId="8" hidden="1"/>
    <cellStyle name="Lien hypertexte" xfId="268" builtinId="8" hidden="1"/>
    <cellStyle name="Lien hypertexte" xfId="270" builtinId="8" hidden="1"/>
    <cellStyle name="Lien hypertexte" xfId="272" builtinId="8" hidden="1"/>
    <cellStyle name="Lien hypertexte" xfId="274" builtinId="8" hidden="1"/>
    <cellStyle name="Lien hypertexte" xfId="276" builtinId="8" hidden="1"/>
    <cellStyle name="Lien hypertexte" xfId="278" builtinId="8" hidden="1"/>
    <cellStyle name="Lien hypertexte" xfId="280" builtinId="8" hidden="1"/>
    <cellStyle name="Lien hypertexte" xfId="282" builtinId="8" hidden="1"/>
    <cellStyle name="Lien hypertexte" xfId="284" builtinId="8" hidden="1"/>
    <cellStyle name="Lien hypertexte" xfId="286" builtinId="8" hidden="1"/>
    <cellStyle name="Lien hypertexte" xfId="288" builtinId="8" hidden="1"/>
    <cellStyle name="Lien hypertexte" xfId="290" builtinId="8" hidden="1"/>
    <cellStyle name="Lien hypertexte" xfId="292" builtinId="8" hidden="1"/>
    <cellStyle name="Lien hypertexte" xfId="294" builtinId="8" hidden="1"/>
    <cellStyle name="Lien hypertexte" xfId="296" builtinId="8" hidden="1"/>
    <cellStyle name="Lien hypertexte" xfId="298" builtinId="8" hidden="1"/>
    <cellStyle name="Lien hypertexte" xfId="300" builtinId="8" hidden="1"/>
    <cellStyle name="Lien hypertexte" xfId="302" builtinId="8" hidden="1"/>
    <cellStyle name="Lien hypertexte" xfId="304" builtinId="8" hidden="1"/>
    <cellStyle name="Lien hypertexte" xfId="306" builtinId="8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Lien hypertexte visité" xfId="33" builtinId="9" hidden="1"/>
    <cellStyle name="Lien hypertexte visité" xfId="35" builtinId="9" hidden="1"/>
    <cellStyle name="Lien hypertexte visité" xfId="37" builtinId="9" hidden="1"/>
    <cellStyle name="Lien hypertexte visité" xfId="39" builtinId="9" hidden="1"/>
    <cellStyle name="Lien hypertexte visité" xfId="41" builtinId="9" hidden="1"/>
    <cellStyle name="Lien hypertexte visité" xfId="43" builtinId="9" hidden="1"/>
    <cellStyle name="Lien hypertexte visité" xfId="45" builtinId="9" hidden="1"/>
    <cellStyle name="Lien hypertexte visité" xfId="47" builtinId="9" hidden="1"/>
    <cellStyle name="Lien hypertexte visité" xfId="49" builtinId="9" hidden="1"/>
    <cellStyle name="Lien hypertexte visité" xfId="51" builtinId="9" hidden="1"/>
    <cellStyle name="Lien hypertexte visité" xfId="53" builtinId="9" hidden="1"/>
    <cellStyle name="Lien hypertexte visité" xfId="55" builtinId="9" hidden="1"/>
    <cellStyle name="Lien hypertexte visité" xfId="57" builtinId="9" hidden="1"/>
    <cellStyle name="Lien hypertexte visité" xfId="59" builtinId="9" hidden="1"/>
    <cellStyle name="Lien hypertexte visité" xfId="61" builtinId="9" hidden="1"/>
    <cellStyle name="Lien hypertexte visité" xfId="63" builtinId="9" hidden="1"/>
    <cellStyle name="Lien hypertexte visité" xfId="65" builtinId="9" hidden="1"/>
    <cellStyle name="Lien hypertexte visité" xfId="67" builtinId="9" hidden="1"/>
    <cellStyle name="Lien hypertexte visité" xfId="69" builtinId="9" hidden="1"/>
    <cellStyle name="Lien hypertexte visité" xfId="71" builtinId="9" hidden="1"/>
    <cellStyle name="Lien hypertexte visité" xfId="73" builtinId="9" hidden="1"/>
    <cellStyle name="Lien hypertexte visité" xfId="75" builtinId="9" hidden="1"/>
    <cellStyle name="Lien hypertexte visité" xfId="77" builtinId="9" hidden="1"/>
    <cellStyle name="Lien hypertexte visité" xfId="79" builtinId="9" hidden="1"/>
    <cellStyle name="Lien hypertexte visité" xfId="81" builtinId="9" hidden="1"/>
    <cellStyle name="Lien hypertexte visité" xfId="83" builtinId="9" hidden="1"/>
    <cellStyle name="Lien hypertexte visité" xfId="85" builtinId="9" hidden="1"/>
    <cellStyle name="Lien hypertexte visité" xfId="87" builtinId="9" hidden="1"/>
    <cellStyle name="Lien hypertexte visité" xfId="89" builtinId="9" hidden="1"/>
    <cellStyle name="Lien hypertexte visité" xfId="91" builtinId="9" hidden="1"/>
    <cellStyle name="Lien hypertexte visité" xfId="93" builtinId="9" hidden="1"/>
    <cellStyle name="Lien hypertexte visité" xfId="95" builtinId="9" hidden="1"/>
    <cellStyle name="Lien hypertexte visité" xfId="97" builtinId="9" hidden="1"/>
    <cellStyle name="Lien hypertexte visité" xfId="99" builtinId="9" hidden="1"/>
    <cellStyle name="Lien hypertexte visité" xfId="101" builtinId="9" hidden="1"/>
    <cellStyle name="Lien hypertexte visité" xfId="103" builtinId="9" hidden="1"/>
    <cellStyle name="Lien hypertexte visité" xfId="105" builtinId="9" hidden="1"/>
    <cellStyle name="Lien hypertexte visité" xfId="107" builtinId="9" hidden="1"/>
    <cellStyle name="Lien hypertexte visité" xfId="109" builtinId="9" hidden="1"/>
    <cellStyle name="Lien hypertexte visité" xfId="111" builtinId="9" hidden="1"/>
    <cellStyle name="Lien hypertexte visité" xfId="113" builtinId="9" hidden="1"/>
    <cellStyle name="Lien hypertexte visité" xfId="115" builtinId="9" hidden="1"/>
    <cellStyle name="Lien hypertexte visité" xfId="117" builtinId="9" hidden="1"/>
    <cellStyle name="Lien hypertexte visité" xfId="119" builtinId="9" hidden="1"/>
    <cellStyle name="Lien hypertexte visité" xfId="121" builtinId="9" hidden="1"/>
    <cellStyle name="Lien hypertexte visité" xfId="123" builtinId="9" hidden="1"/>
    <cellStyle name="Lien hypertexte visité" xfId="125" builtinId="9" hidden="1"/>
    <cellStyle name="Lien hypertexte visité" xfId="127" builtinId="9" hidden="1"/>
    <cellStyle name="Lien hypertexte visité" xfId="129" builtinId="9" hidden="1"/>
    <cellStyle name="Lien hypertexte visité" xfId="131" builtinId="9" hidden="1"/>
    <cellStyle name="Lien hypertexte visité" xfId="133" builtinId="9" hidden="1"/>
    <cellStyle name="Lien hypertexte visité" xfId="135" builtinId="9" hidden="1"/>
    <cellStyle name="Lien hypertexte visité" xfId="137" builtinId="9" hidden="1"/>
    <cellStyle name="Lien hypertexte visité" xfId="139" builtinId="9" hidden="1"/>
    <cellStyle name="Lien hypertexte visité" xfId="141" builtinId="9" hidden="1"/>
    <cellStyle name="Lien hypertexte visité" xfId="143" builtinId="9" hidden="1"/>
    <cellStyle name="Lien hypertexte visité" xfId="145" builtinId="9" hidden="1"/>
    <cellStyle name="Lien hypertexte visité" xfId="147" builtinId="9" hidden="1"/>
    <cellStyle name="Lien hypertexte visité" xfId="149" builtinId="9" hidden="1"/>
    <cellStyle name="Lien hypertexte visité" xfId="151" builtinId="9" hidden="1"/>
    <cellStyle name="Lien hypertexte visité" xfId="153" builtinId="9" hidden="1"/>
    <cellStyle name="Lien hypertexte visité" xfId="155" builtinId="9" hidden="1"/>
    <cellStyle name="Lien hypertexte visité" xfId="157" builtinId="9" hidden="1"/>
    <cellStyle name="Lien hypertexte visité" xfId="159" builtinId="9" hidden="1"/>
    <cellStyle name="Lien hypertexte visité" xfId="161" builtinId="9" hidden="1"/>
    <cellStyle name="Lien hypertexte visité" xfId="163" builtinId="9" hidden="1"/>
    <cellStyle name="Lien hypertexte visité" xfId="165" builtinId="9" hidden="1"/>
    <cellStyle name="Lien hypertexte visité" xfId="167" builtinId="9" hidden="1"/>
    <cellStyle name="Lien hypertexte visité" xfId="169" builtinId="9" hidden="1"/>
    <cellStyle name="Lien hypertexte visité" xfId="171" builtinId="9" hidden="1"/>
    <cellStyle name="Lien hypertexte visité" xfId="173" builtinId="9" hidden="1"/>
    <cellStyle name="Lien hypertexte visité" xfId="175" builtinId="9" hidden="1"/>
    <cellStyle name="Lien hypertexte visité" xfId="177" builtinId="9" hidden="1"/>
    <cellStyle name="Lien hypertexte visité" xfId="179" builtinId="9" hidden="1"/>
    <cellStyle name="Lien hypertexte visité" xfId="181" builtinId="9" hidden="1"/>
    <cellStyle name="Lien hypertexte visité" xfId="183" builtinId="9" hidden="1"/>
    <cellStyle name="Lien hypertexte visité" xfId="185" builtinId="9" hidden="1"/>
    <cellStyle name="Lien hypertexte visité" xfId="187" builtinId="9" hidden="1"/>
    <cellStyle name="Lien hypertexte visité" xfId="189" builtinId="9" hidden="1"/>
    <cellStyle name="Lien hypertexte visité" xfId="191" builtinId="9" hidden="1"/>
    <cellStyle name="Lien hypertexte visité" xfId="193" builtinId="9" hidden="1"/>
    <cellStyle name="Lien hypertexte visité" xfId="195" builtinId="9" hidden="1"/>
    <cellStyle name="Lien hypertexte visité" xfId="197" builtinId="9" hidden="1"/>
    <cellStyle name="Lien hypertexte visité" xfId="199" builtinId="9" hidden="1"/>
    <cellStyle name="Lien hypertexte visité" xfId="201" builtinId="9" hidden="1"/>
    <cellStyle name="Lien hypertexte visité" xfId="203" builtinId="9" hidden="1"/>
    <cellStyle name="Lien hypertexte visité" xfId="205" builtinId="9" hidden="1"/>
    <cellStyle name="Lien hypertexte visité" xfId="207" builtinId="9" hidden="1"/>
    <cellStyle name="Lien hypertexte visité" xfId="209" builtinId="9" hidden="1"/>
    <cellStyle name="Lien hypertexte visité" xfId="211" builtinId="9" hidden="1"/>
    <cellStyle name="Lien hypertexte visité" xfId="213" builtinId="9" hidden="1"/>
    <cellStyle name="Lien hypertexte visité" xfId="215" builtinId="9" hidden="1"/>
    <cellStyle name="Lien hypertexte visité" xfId="217" builtinId="9" hidden="1"/>
    <cellStyle name="Lien hypertexte visité" xfId="219" builtinId="9" hidden="1"/>
    <cellStyle name="Lien hypertexte visité" xfId="221" builtinId="9" hidden="1"/>
    <cellStyle name="Lien hypertexte visité" xfId="223" builtinId="9" hidden="1"/>
    <cellStyle name="Lien hypertexte visité" xfId="225" builtinId="9" hidden="1"/>
    <cellStyle name="Lien hypertexte visité" xfId="227" builtinId="9" hidden="1"/>
    <cellStyle name="Lien hypertexte visité" xfId="229" builtinId="9" hidden="1"/>
    <cellStyle name="Lien hypertexte visité" xfId="231" builtinId="9" hidden="1"/>
    <cellStyle name="Lien hypertexte visité" xfId="233" builtinId="9" hidden="1"/>
    <cellStyle name="Lien hypertexte visité" xfId="235" builtinId="9" hidden="1"/>
    <cellStyle name="Lien hypertexte visité" xfId="237" builtinId="9" hidden="1"/>
    <cellStyle name="Lien hypertexte visité" xfId="239" builtinId="9" hidden="1"/>
    <cellStyle name="Lien hypertexte visité" xfId="241" builtinId="9" hidden="1"/>
    <cellStyle name="Lien hypertexte visité" xfId="243" builtinId="9" hidden="1"/>
    <cellStyle name="Lien hypertexte visité" xfId="245" builtinId="9" hidden="1"/>
    <cellStyle name="Lien hypertexte visité" xfId="247" builtinId="9" hidden="1"/>
    <cellStyle name="Lien hypertexte visité" xfId="249" builtinId="9" hidden="1"/>
    <cellStyle name="Lien hypertexte visité" xfId="251" builtinId="9" hidden="1"/>
    <cellStyle name="Lien hypertexte visité" xfId="253" builtinId="9" hidden="1"/>
    <cellStyle name="Lien hypertexte visité" xfId="255" builtinId="9" hidden="1"/>
    <cellStyle name="Lien hypertexte visité" xfId="257" builtinId="9" hidden="1"/>
    <cellStyle name="Lien hypertexte visité" xfId="259" builtinId="9" hidden="1"/>
    <cellStyle name="Lien hypertexte visité" xfId="261" builtinId="9" hidden="1"/>
    <cellStyle name="Lien hypertexte visité" xfId="263" builtinId="9" hidden="1"/>
    <cellStyle name="Lien hypertexte visité" xfId="265" builtinId="9" hidden="1"/>
    <cellStyle name="Lien hypertexte visité" xfId="267" builtinId="9" hidden="1"/>
    <cellStyle name="Lien hypertexte visité" xfId="269" builtinId="9" hidden="1"/>
    <cellStyle name="Lien hypertexte visité" xfId="271" builtinId="9" hidden="1"/>
    <cellStyle name="Lien hypertexte visité" xfId="273" builtinId="9" hidden="1"/>
    <cellStyle name="Lien hypertexte visité" xfId="275" builtinId="9" hidden="1"/>
    <cellStyle name="Lien hypertexte visité" xfId="277" builtinId="9" hidden="1"/>
    <cellStyle name="Lien hypertexte visité" xfId="279" builtinId="9" hidden="1"/>
    <cellStyle name="Lien hypertexte visité" xfId="281" builtinId="9" hidden="1"/>
    <cellStyle name="Lien hypertexte visité" xfId="283" builtinId="9" hidden="1"/>
    <cellStyle name="Lien hypertexte visité" xfId="285" builtinId="9" hidden="1"/>
    <cellStyle name="Lien hypertexte visité" xfId="287" builtinId="9" hidden="1"/>
    <cellStyle name="Lien hypertexte visité" xfId="289" builtinId="9" hidden="1"/>
    <cellStyle name="Lien hypertexte visité" xfId="291" builtinId="9" hidden="1"/>
    <cellStyle name="Lien hypertexte visité" xfId="293" builtinId="9" hidden="1"/>
    <cellStyle name="Lien hypertexte visité" xfId="295" builtinId="9" hidden="1"/>
    <cellStyle name="Lien hypertexte visité" xfId="297" builtinId="9" hidden="1"/>
    <cellStyle name="Lien hypertexte visité" xfId="299" builtinId="9" hidden="1"/>
    <cellStyle name="Lien hypertexte visité" xfId="301" builtinId="9" hidden="1"/>
    <cellStyle name="Lien hypertexte visité" xfId="303" builtinId="9" hidden="1"/>
    <cellStyle name="Lien hypertexte visité" xfId="305" builtinId="9" hidden="1"/>
    <cellStyle name="Lien hypertexte visité" xfId="307" builtinId="9" hidden="1"/>
    <cellStyle name="Milliers" xfId="1" builtinId="3"/>
    <cellStyle name="Normal" xfId="0" builtinId="0"/>
    <cellStyle name="Normal 2" xfId="4"/>
    <cellStyle name="Percent 2" xfId="5"/>
    <cellStyle name="Pourcentage" xfId="2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254000</xdr:colOff>
      <xdr:row>30</xdr:row>
      <xdr:rowOff>10160</xdr:rowOff>
    </xdr:from>
    <xdr:to>
      <xdr:col>18</xdr:col>
      <xdr:colOff>619760</xdr:colOff>
      <xdr:row>35</xdr:row>
      <xdr:rowOff>162560</xdr:rowOff>
    </xdr:to>
    <xdr:sp macro="" textlink="">
      <xdr:nvSpPr>
        <xdr:cNvPr id="2" name="TextBox 1"/>
        <xdr:cNvSpPr txBox="1"/>
      </xdr:nvSpPr>
      <xdr:spPr>
        <a:xfrm>
          <a:off x="11023600" y="5994400"/>
          <a:ext cx="365760" cy="1117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t"/>
        <a:lstStyle/>
        <a:p>
          <a:r>
            <a:rPr lang="en-US" sz="1400">
              <a:latin typeface="Times New Roman"/>
              <a:cs typeface="Times New Roman"/>
            </a:rPr>
            <a:t>Page A-8</a:t>
          </a:r>
        </a:p>
      </xdr:txBody>
    </xdr:sp>
    <xdr:clientData/>
  </xdr:twoCellAnchor>
  <xdr:twoCellAnchor>
    <xdr:from>
      <xdr:col>18</xdr:col>
      <xdr:colOff>203200</xdr:colOff>
      <xdr:row>69</xdr:row>
      <xdr:rowOff>30480</xdr:rowOff>
    </xdr:from>
    <xdr:to>
      <xdr:col>18</xdr:col>
      <xdr:colOff>568960</xdr:colOff>
      <xdr:row>74</xdr:row>
      <xdr:rowOff>182880</xdr:rowOff>
    </xdr:to>
    <xdr:sp macro="" textlink="">
      <xdr:nvSpPr>
        <xdr:cNvPr id="3" name="TextBox 2"/>
        <xdr:cNvSpPr txBox="1"/>
      </xdr:nvSpPr>
      <xdr:spPr>
        <a:xfrm>
          <a:off x="10972800" y="13695680"/>
          <a:ext cx="365760" cy="1117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t"/>
        <a:lstStyle/>
        <a:p>
          <a:r>
            <a:rPr lang="en-US" sz="1400">
              <a:latin typeface="Times New Roman"/>
              <a:cs typeface="Times New Roman"/>
            </a:rPr>
            <a:t>Page A-9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"/>
  <sheetViews>
    <sheetView tabSelected="1" zoomScale="125" zoomScaleNormal="125" zoomScalePageLayoutView="125" workbookViewId="0">
      <selection sqref="A1:L1"/>
    </sheetView>
  </sheetViews>
  <sheetFormatPr baseColWidth="10" defaultColWidth="10.85546875" defaultRowHeight="15.75" x14ac:dyDescent="0.25"/>
  <cols>
    <col min="1" max="1" width="10.85546875" style="2"/>
    <col min="2" max="2" width="6.140625" style="2" customWidth="1"/>
    <col min="3" max="3" width="11.28515625" style="2" customWidth="1"/>
    <col min="4" max="4" width="8" style="2" customWidth="1"/>
    <col min="5" max="5" width="9.85546875" style="2" customWidth="1"/>
    <col min="6" max="6" width="11.7109375" style="2" customWidth="1"/>
    <col min="7" max="7" width="6.85546875" style="2" bestFit="1" customWidth="1"/>
    <col min="8" max="8" width="4.42578125" style="2" customWidth="1"/>
    <col min="9" max="9" width="11.5703125" style="2" customWidth="1"/>
    <col min="10" max="10" width="1.85546875" style="2" customWidth="1"/>
    <col min="11" max="11" width="12.140625" style="2" bestFit="1" customWidth="1"/>
    <col min="12" max="12" width="6.85546875" style="2" bestFit="1" customWidth="1"/>
    <col min="13" max="13" width="4.140625" style="2" customWidth="1"/>
    <col min="14" max="14" width="11.140625" style="2" bestFit="1" customWidth="1"/>
    <col min="15" max="15" width="1.85546875" style="2" customWidth="1"/>
    <col min="16" max="16" width="12.28515625" style="2" bestFit="1" customWidth="1"/>
    <col min="17" max="17" width="2" style="2" customWidth="1"/>
    <col min="18" max="18" width="12.28515625" style="2" customWidth="1"/>
    <col min="19" max="19" width="9" style="2" customWidth="1"/>
    <col min="20" max="20" width="11.42578125" style="2" customWidth="1"/>
    <col min="21" max="21" width="12.5703125" style="2" customWidth="1"/>
    <col min="22" max="22" width="12.42578125" style="2" bestFit="1" customWidth="1"/>
    <col min="23" max="23" width="13.85546875" style="2" customWidth="1"/>
    <col min="24" max="24" width="13.28515625" style="2" customWidth="1"/>
    <col min="25" max="25" width="14.28515625" style="2" bestFit="1" customWidth="1"/>
    <col min="26" max="16384" width="10.85546875" style="2"/>
  </cols>
  <sheetData>
    <row r="1" spans="1:26" s="106" customFormat="1" ht="24" customHeight="1" x14ac:dyDescent="0.3">
      <c r="A1" s="108" t="s">
        <v>94</v>
      </c>
      <c r="U1" s="107" t="s">
        <v>67</v>
      </c>
      <c r="V1" s="107"/>
      <c r="W1" s="107"/>
      <c r="X1" s="107"/>
      <c r="Y1" s="107"/>
      <c r="Z1" s="107"/>
    </row>
    <row r="2" spans="1:26" s="106" customFormat="1" ht="21.95" customHeight="1" x14ac:dyDescent="0.3">
      <c r="A2" s="105"/>
      <c r="C2" s="108" t="s">
        <v>93</v>
      </c>
      <c r="U2" s="107"/>
      <c r="V2" s="107"/>
      <c r="W2" s="107"/>
      <c r="X2" s="107"/>
      <c r="Y2" s="107"/>
      <c r="Z2" s="107"/>
    </row>
    <row r="3" spans="1:26" s="106" customFormat="1" ht="18" customHeight="1" x14ac:dyDescent="0.25">
      <c r="A3" s="106" t="s">
        <v>86</v>
      </c>
      <c r="U3" s="107"/>
      <c r="V3" s="107"/>
      <c r="W3" s="107"/>
      <c r="X3" s="107"/>
      <c r="Y3" s="107"/>
      <c r="Z3" s="107"/>
    </row>
    <row r="4" spans="1:26" s="106" customFormat="1" ht="18" customHeight="1" x14ac:dyDescent="0.25">
      <c r="A4" s="106" t="s">
        <v>95</v>
      </c>
      <c r="U4" s="107"/>
      <c r="V4" s="107"/>
      <c r="W4" s="107"/>
      <c r="X4" s="107"/>
      <c r="Y4" s="107"/>
      <c r="Z4" s="107"/>
    </row>
    <row r="5" spans="1:26" s="106" customFormat="1" ht="18" customHeight="1" x14ac:dyDescent="0.25">
      <c r="A5" s="106" t="s">
        <v>96</v>
      </c>
      <c r="U5" s="107"/>
      <c r="V5" s="107"/>
      <c r="W5" s="107"/>
      <c r="X5" s="107"/>
      <c r="Y5" s="107"/>
      <c r="Z5" s="107"/>
    </row>
    <row r="6" spans="1:26" s="106" customFormat="1" ht="18" customHeight="1" x14ac:dyDescent="0.25">
      <c r="A6" s="106" t="s">
        <v>97</v>
      </c>
      <c r="U6" s="107"/>
      <c r="V6" s="107"/>
      <c r="W6" s="107"/>
      <c r="X6" s="107"/>
      <c r="Y6" s="107"/>
      <c r="Z6" s="107"/>
    </row>
    <row r="7" spans="1:26" ht="9.9499999999999993" customHeight="1" x14ac:dyDescent="0.25">
      <c r="U7" s="67"/>
      <c r="V7" s="67"/>
      <c r="W7" s="67"/>
      <c r="X7" s="67"/>
      <c r="Y7" s="67"/>
      <c r="Z7" s="67"/>
    </row>
    <row r="8" spans="1:26" s="106" customFormat="1" ht="18" customHeight="1" x14ac:dyDescent="0.25">
      <c r="A8" s="109" t="s">
        <v>88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U8" s="107"/>
      <c r="V8" s="107"/>
      <c r="W8" s="107"/>
      <c r="X8" s="107"/>
      <c r="Y8" s="107"/>
      <c r="Z8" s="107"/>
    </row>
    <row r="9" spans="1:26" ht="18" customHeight="1" x14ac:dyDescent="0.25">
      <c r="A9" s="109" t="s">
        <v>98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U9" s="67"/>
      <c r="V9" s="67"/>
      <c r="W9" s="67"/>
      <c r="X9" s="67"/>
      <c r="Y9" s="67"/>
      <c r="Z9" s="67"/>
    </row>
    <row r="10" spans="1:26" x14ac:dyDescent="0.25">
      <c r="U10" s="67"/>
      <c r="V10" s="67"/>
      <c r="W10" s="67"/>
      <c r="X10" s="67"/>
      <c r="Y10" s="67"/>
      <c r="Z10" s="67"/>
    </row>
    <row r="11" spans="1:26" x14ac:dyDescent="0.25">
      <c r="U11" s="67"/>
      <c r="V11" s="67"/>
      <c r="W11" s="67"/>
      <c r="X11" s="67"/>
      <c r="Y11" s="67"/>
      <c r="Z11" s="67"/>
    </row>
    <row r="12" spans="1:26" x14ac:dyDescent="0.25">
      <c r="B12" s="1"/>
      <c r="C12" s="1"/>
      <c r="D12" s="1"/>
      <c r="E12" s="1"/>
      <c r="F12" s="3" t="s">
        <v>65</v>
      </c>
      <c r="G12" s="4"/>
      <c r="H12" s="4"/>
      <c r="I12" s="5"/>
      <c r="K12" s="3" t="s">
        <v>66</v>
      </c>
      <c r="L12" s="4"/>
      <c r="M12" s="4"/>
      <c r="N12" s="5"/>
      <c r="O12" s="1"/>
      <c r="P12" s="55"/>
      <c r="Q12" s="98"/>
      <c r="R12" s="104"/>
      <c r="S12" s="6"/>
      <c r="U12" s="68" t="s">
        <v>64</v>
      </c>
      <c r="V12" s="67"/>
      <c r="W12" s="67"/>
      <c r="X12" s="67"/>
      <c r="Y12" s="67"/>
      <c r="Z12" s="67"/>
    </row>
    <row r="13" spans="1:26" x14ac:dyDescent="0.25">
      <c r="F13" s="114" t="s">
        <v>2</v>
      </c>
      <c r="G13" s="115"/>
      <c r="H13" s="116"/>
      <c r="I13" s="117" t="s">
        <v>62</v>
      </c>
      <c r="J13" s="8"/>
      <c r="K13" s="118" t="s">
        <v>61</v>
      </c>
      <c r="L13" s="116"/>
      <c r="M13" s="116"/>
      <c r="N13" s="119" t="s">
        <v>63</v>
      </c>
      <c r="O13" s="8"/>
      <c r="P13" s="120" t="s">
        <v>64</v>
      </c>
      <c r="Q13" s="7"/>
      <c r="R13" s="120" t="s">
        <v>89</v>
      </c>
      <c r="S13" s="6"/>
      <c r="U13" s="69">
        <v>2006</v>
      </c>
      <c r="V13" s="67"/>
      <c r="W13" s="67" t="s">
        <v>1</v>
      </c>
      <c r="X13" s="67"/>
      <c r="Y13" s="67"/>
      <c r="Z13" s="70">
        <v>21.481259968102073</v>
      </c>
    </row>
    <row r="14" spans="1:26" hidden="1" x14ac:dyDescent="0.25">
      <c r="A14" s="2" t="s">
        <v>60</v>
      </c>
      <c r="F14" s="9"/>
      <c r="G14" s="6"/>
      <c r="H14" s="7"/>
      <c r="I14" s="51">
        <v>21.5</v>
      </c>
      <c r="J14" s="10"/>
      <c r="K14" s="53">
        <v>25</v>
      </c>
      <c r="L14" s="11"/>
      <c r="M14" s="11"/>
      <c r="N14" s="102">
        <v>2.5</v>
      </c>
      <c r="O14" s="10"/>
      <c r="P14" s="56">
        <v>2013</v>
      </c>
      <c r="Q14" s="11"/>
      <c r="R14" s="103" t="s">
        <v>87</v>
      </c>
      <c r="S14" s="122"/>
      <c r="U14" s="71"/>
      <c r="V14" s="67"/>
      <c r="W14" s="67"/>
      <c r="X14" s="67"/>
      <c r="Y14" s="67"/>
      <c r="Z14" s="67"/>
    </row>
    <row r="15" spans="1:26" x14ac:dyDescent="0.25">
      <c r="E15" s="13"/>
      <c r="F15" s="111"/>
      <c r="G15" s="6"/>
      <c r="H15" s="7"/>
      <c r="I15" s="112"/>
      <c r="J15" s="11"/>
      <c r="K15" s="113"/>
      <c r="L15" s="11"/>
      <c r="M15" s="11"/>
      <c r="N15" s="112"/>
      <c r="O15" s="11"/>
      <c r="P15" s="11"/>
      <c r="Q15" s="11"/>
      <c r="R15" s="11"/>
      <c r="S15" s="11"/>
      <c r="T15" s="13"/>
      <c r="U15" s="110"/>
      <c r="V15" s="67"/>
      <c r="W15" s="67"/>
      <c r="X15" s="67"/>
      <c r="Y15" s="67"/>
      <c r="Z15" s="67"/>
    </row>
    <row r="16" spans="1:26" x14ac:dyDescent="0.25">
      <c r="A16" s="1" t="s">
        <v>0</v>
      </c>
      <c r="F16" s="3"/>
      <c r="G16" s="4"/>
      <c r="H16" s="4"/>
      <c r="I16" s="5"/>
      <c r="K16" s="3"/>
      <c r="L16" s="4"/>
      <c r="M16" s="4"/>
      <c r="N16" s="5"/>
      <c r="O16" s="1"/>
      <c r="P16" s="55"/>
      <c r="Q16" s="98"/>
      <c r="R16" s="104"/>
      <c r="S16" s="6"/>
      <c r="U16" s="72"/>
      <c r="V16" s="67"/>
      <c r="W16" s="67"/>
      <c r="X16" s="67"/>
      <c r="Y16" s="67"/>
      <c r="Z16" s="67"/>
    </row>
    <row r="17" spans="1:26" x14ac:dyDescent="0.25">
      <c r="A17" s="2" t="s">
        <v>3</v>
      </c>
      <c r="F17" s="17"/>
      <c r="G17" s="18" t="s">
        <v>4</v>
      </c>
      <c r="H17" s="13"/>
      <c r="I17" s="19"/>
      <c r="K17" s="15"/>
      <c r="L17" s="18" t="s">
        <v>4</v>
      </c>
      <c r="M17" s="13"/>
      <c r="N17" s="16"/>
      <c r="P17" s="57"/>
      <c r="Q17" s="13"/>
      <c r="R17" s="57"/>
      <c r="S17" s="13"/>
      <c r="U17" s="72"/>
      <c r="V17" s="67"/>
      <c r="W17" s="67" t="s">
        <v>5</v>
      </c>
      <c r="X17" s="67" t="s">
        <v>6</v>
      </c>
      <c r="Y17" s="67" t="s">
        <v>7</v>
      </c>
      <c r="Z17" s="67" t="s">
        <v>8</v>
      </c>
    </row>
    <row r="18" spans="1:26" x14ac:dyDescent="0.25">
      <c r="B18" s="2" t="s">
        <v>9</v>
      </c>
      <c r="F18" s="12">
        <v>12535</v>
      </c>
      <c r="G18" s="20">
        <f>F18/F$22</f>
        <v>0.62475079744816586</v>
      </c>
      <c r="H18" s="13"/>
      <c r="I18" s="14">
        <f>$F18*I$14</f>
        <v>269502.5</v>
      </c>
      <c r="K18" s="12">
        <f>I18</f>
        <v>269502.5</v>
      </c>
      <c r="L18" s="20">
        <f>K18/K$22</f>
        <v>0.62475079744816586</v>
      </c>
      <c r="M18" s="13"/>
      <c r="N18" s="14">
        <f>K18*$N$14</f>
        <v>673756.25</v>
      </c>
      <c r="P18" s="58">
        <v>882858</v>
      </c>
      <c r="Q18" s="99"/>
      <c r="R18" s="58">
        <v>673756.25</v>
      </c>
      <c r="S18" s="99"/>
      <c r="U18" s="73">
        <v>353546</v>
      </c>
      <c r="V18" s="67"/>
      <c r="W18" s="67" t="s">
        <v>10</v>
      </c>
      <c r="X18" s="67">
        <v>6.5</v>
      </c>
      <c r="Y18" s="67">
        <v>1</v>
      </c>
      <c r="Z18" s="67">
        <f>X18*Y18</f>
        <v>6.5</v>
      </c>
    </row>
    <row r="19" spans="1:26" x14ac:dyDescent="0.25">
      <c r="B19" s="2" t="s">
        <v>11</v>
      </c>
      <c r="F19" s="12">
        <v>4093</v>
      </c>
      <c r="G19" s="20">
        <f>F19/F$22</f>
        <v>0.20399720893141945</v>
      </c>
      <c r="H19" s="13"/>
      <c r="I19" s="14">
        <f t="shared" ref="I19:I21" si="0">$F19*I$14</f>
        <v>87999.5</v>
      </c>
      <c r="K19" s="12">
        <f>I19</f>
        <v>87999.5</v>
      </c>
      <c r="L19" s="20">
        <f>K19/K$22</f>
        <v>0.20399720893141945</v>
      </c>
      <c r="M19" s="13"/>
      <c r="N19" s="14">
        <f t="shared" ref="N19:N21" si="1">K19*$N$14</f>
        <v>219998.75</v>
      </c>
      <c r="P19" s="58">
        <v>300881</v>
      </c>
      <c r="Q19" s="99"/>
      <c r="R19" s="58">
        <v>219998.75</v>
      </c>
      <c r="S19" s="99"/>
      <c r="U19" s="73">
        <v>180146</v>
      </c>
      <c r="V19" s="67"/>
      <c r="W19" s="67" t="s">
        <v>12</v>
      </c>
      <c r="X19" s="67">
        <v>6</v>
      </c>
      <c r="Y19" s="67">
        <v>2.5</v>
      </c>
      <c r="Z19" s="67">
        <f t="shared" ref="Z19:Z29" si="2">X19*Y19</f>
        <v>15</v>
      </c>
    </row>
    <row r="20" spans="1:26" x14ac:dyDescent="0.25">
      <c r="B20" s="2" t="s">
        <v>13</v>
      </c>
      <c r="F20" s="12">
        <v>2670</v>
      </c>
      <c r="G20" s="20">
        <f>F20/F$22</f>
        <v>0.13307416267942584</v>
      </c>
      <c r="H20" s="13"/>
      <c r="I20" s="14">
        <f t="shared" si="0"/>
        <v>57405</v>
      </c>
      <c r="K20" s="12">
        <f>I20</f>
        <v>57405</v>
      </c>
      <c r="L20" s="20">
        <f>K20/K$22</f>
        <v>0.13307416267942584</v>
      </c>
      <c r="M20" s="13"/>
      <c r="N20" s="14">
        <f t="shared" si="1"/>
        <v>143512.5</v>
      </c>
      <c r="P20" s="58">
        <v>142343</v>
      </c>
      <c r="Q20" s="99"/>
      <c r="R20" s="58">
        <v>143512.5</v>
      </c>
      <c r="S20" s="99"/>
      <c r="U20" s="73">
        <v>67575</v>
      </c>
      <c r="V20" s="67"/>
      <c r="W20" s="67" t="s">
        <v>14</v>
      </c>
      <c r="X20" s="67">
        <v>6</v>
      </c>
      <c r="Y20" s="67">
        <v>0.5</v>
      </c>
      <c r="Z20" s="67">
        <f t="shared" si="2"/>
        <v>3</v>
      </c>
    </row>
    <row r="21" spans="1:26" x14ac:dyDescent="0.25">
      <c r="A21" s="21"/>
      <c r="B21" s="21" t="s">
        <v>15</v>
      </c>
      <c r="C21" s="21"/>
      <c r="D21" s="22"/>
      <c r="E21" s="22"/>
      <c r="F21" s="23">
        <v>766</v>
      </c>
      <c r="G21" s="24">
        <f>F21/F$22</f>
        <v>3.8177830940988838E-2</v>
      </c>
      <c r="H21" s="13"/>
      <c r="I21" s="25">
        <f t="shared" si="0"/>
        <v>16469</v>
      </c>
      <c r="K21" s="23">
        <f>I21</f>
        <v>16469</v>
      </c>
      <c r="L21" s="24">
        <f>K21/K$22</f>
        <v>3.8177830940988838E-2</v>
      </c>
      <c r="M21" s="13"/>
      <c r="N21" s="25">
        <f t="shared" si="1"/>
        <v>41172.5</v>
      </c>
      <c r="P21" s="59">
        <v>82958</v>
      </c>
      <c r="Q21" s="99"/>
      <c r="R21" s="59">
        <v>41172.5</v>
      </c>
      <c r="U21" s="74">
        <v>26527</v>
      </c>
      <c r="V21" s="67"/>
      <c r="W21" s="67" t="s">
        <v>16</v>
      </c>
      <c r="X21" s="67">
        <v>5.5</v>
      </c>
      <c r="Y21" s="67">
        <v>1</v>
      </c>
      <c r="Z21" s="67">
        <f t="shared" si="2"/>
        <v>5.5</v>
      </c>
    </row>
    <row r="22" spans="1:26" x14ac:dyDescent="0.25">
      <c r="A22" s="2" t="s">
        <v>17</v>
      </c>
      <c r="D22" s="26"/>
      <c r="E22" s="26"/>
      <c r="F22" s="12">
        <v>20064</v>
      </c>
      <c r="G22" s="13"/>
      <c r="H22" s="13"/>
      <c r="I22" s="14">
        <f>SUM(I18:I21)</f>
        <v>431376</v>
      </c>
      <c r="K22" s="12">
        <f>SUM(K18:K21)</f>
        <v>431376</v>
      </c>
      <c r="L22" s="13"/>
      <c r="M22" s="13"/>
      <c r="N22" s="14">
        <f>SUM(N18:N21)</f>
        <v>1078440</v>
      </c>
      <c r="P22" s="58">
        <f>SUM(P18:P21)</f>
        <v>1409040</v>
      </c>
      <c r="Q22" s="99"/>
      <c r="R22" s="58">
        <v>1078440</v>
      </c>
      <c r="S22" s="99"/>
      <c r="U22" s="73">
        <f>SUM(U18:U21)</f>
        <v>627794</v>
      </c>
      <c r="V22" s="67"/>
      <c r="W22" s="67" t="s">
        <v>18</v>
      </c>
      <c r="X22" s="67">
        <v>3.5</v>
      </c>
      <c r="Y22" s="67">
        <v>2</v>
      </c>
      <c r="Z22" s="67">
        <f t="shared" si="2"/>
        <v>7</v>
      </c>
    </row>
    <row r="23" spans="1:26" x14ac:dyDescent="0.25">
      <c r="D23" s="26"/>
      <c r="E23" s="26"/>
      <c r="F23" s="12"/>
      <c r="G23" s="18" t="s">
        <v>19</v>
      </c>
      <c r="H23" s="13"/>
      <c r="I23" s="14"/>
      <c r="K23" s="12"/>
      <c r="L23" s="18" t="s">
        <v>19</v>
      </c>
      <c r="M23" s="13"/>
      <c r="N23" s="14"/>
      <c r="P23" s="58"/>
      <c r="Q23" s="99"/>
      <c r="R23" s="58"/>
      <c r="S23" s="99"/>
      <c r="U23" s="73"/>
      <c r="V23" s="67"/>
      <c r="W23" s="67" t="s">
        <v>20</v>
      </c>
      <c r="X23" s="67">
        <v>6.5</v>
      </c>
      <c r="Y23" s="67">
        <v>1</v>
      </c>
      <c r="Z23" s="67">
        <f t="shared" si="2"/>
        <v>6.5</v>
      </c>
    </row>
    <row r="24" spans="1:26" x14ac:dyDescent="0.25">
      <c r="B24" s="2" t="s">
        <v>9</v>
      </c>
      <c r="D24" s="26"/>
      <c r="E24" s="26"/>
      <c r="F24" s="12">
        <v>767</v>
      </c>
      <c r="G24" s="20">
        <f>F24/F18</f>
        <v>6.118867171918628E-2</v>
      </c>
      <c r="H24" s="13"/>
      <c r="I24" s="14">
        <f t="shared" ref="I24:I27" si="3">$F24*I$14</f>
        <v>16490.5</v>
      </c>
      <c r="K24" s="12">
        <f>L24*K18</f>
        <v>21880.550000000003</v>
      </c>
      <c r="L24" s="20">
        <f>G24+0.02</f>
        <v>8.1188671719186284E-2</v>
      </c>
      <c r="M24" s="13"/>
      <c r="N24" s="14">
        <f t="shared" ref="N24:N27" si="4">K24*$N$14</f>
        <v>54701.375000000007</v>
      </c>
      <c r="P24" s="58">
        <f>P18-807023</f>
        <v>75835</v>
      </c>
      <c r="Q24" s="99"/>
      <c r="R24" s="58">
        <v>54701.375000000007</v>
      </c>
      <c r="S24" s="99"/>
      <c r="U24" s="73">
        <v>20790</v>
      </c>
      <c r="V24" s="67"/>
      <c r="W24" s="67" t="s">
        <v>21</v>
      </c>
      <c r="X24" s="67">
        <v>4</v>
      </c>
      <c r="Y24" s="67">
        <v>1.5</v>
      </c>
      <c r="Z24" s="67">
        <f t="shared" si="2"/>
        <v>6</v>
      </c>
    </row>
    <row r="25" spans="1:26" x14ac:dyDescent="0.25">
      <c r="B25" s="2" t="s">
        <v>11</v>
      </c>
      <c r="D25" s="26"/>
      <c r="E25" s="26"/>
      <c r="F25" s="12">
        <v>287</v>
      </c>
      <c r="G25" s="20">
        <f t="shared" ref="G25:G27" si="5">F25/F19</f>
        <v>7.0119716589298803E-2</v>
      </c>
      <c r="H25" s="13"/>
      <c r="I25" s="14">
        <f t="shared" si="3"/>
        <v>6170.5</v>
      </c>
      <c r="K25" s="12">
        <f>L25*K19</f>
        <v>7930.4900000000007</v>
      </c>
      <c r="L25" s="20">
        <f t="shared" ref="L25:L27" si="6">G25+0.02</f>
        <v>9.0119716589298807E-2</v>
      </c>
      <c r="M25" s="13"/>
      <c r="N25" s="14">
        <f t="shared" si="4"/>
        <v>19826.225000000002</v>
      </c>
      <c r="P25" s="58">
        <f>P19-280608</f>
        <v>20273</v>
      </c>
      <c r="Q25" s="99"/>
      <c r="R25" s="58">
        <v>19826.225000000002</v>
      </c>
      <c r="S25" s="99"/>
      <c r="U25" s="73">
        <v>16197</v>
      </c>
      <c r="V25" s="67"/>
      <c r="W25" s="67" t="s">
        <v>22</v>
      </c>
      <c r="X25" s="67">
        <v>3.5</v>
      </c>
      <c r="Y25" s="67">
        <v>2</v>
      </c>
      <c r="Z25" s="67">
        <f t="shared" si="2"/>
        <v>7</v>
      </c>
    </row>
    <row r="26" spans="1:26" x14ac:dyDescent="0.25">
      <c r="B26" s="27" t="s">
        <v>13</v>
      </c>
      <c r="C26" s="27"/>
      <c r="D26" s="26"/>
      <c r="E26" s="26"/>
      <c r="F26" s="12">
        <v>1087</v>
      </c>
      <c r="G26" s="20">
        <f t="shared" si="5"/>
        <v>0.40711610486891386</v>
      </c>
      <c r="H26" s="13"/>
      <c r="I26" s="14">
        <f t="shared" si="3"/>
        <v>23370.5</v>
      </c>
      <c r="K26" s="12">
        <f>L26*K20</f>
        <v>24518.600000000002</v>
      </c>
      <c r="L26" s="20">
        <f t="shared" si="6"/>
        <v>0.42711610486891388</v>
      </c>
      <c r="M26" s="13"/>
      <c r="N26" s="14">
        <f t="shared" si="4"/>
        <v>61296.500000000007</v>
      </c>
      <c r="P26" s="58">
        <f>P20-68588</f>
        <v>73755</v>
      </c>
      <c r="Q26" s="99"/>
      <c r="R26" s="58">
        <v>61296.500000000007</v>
      </c>
      <c r="S26" s="99"/>
      <c r="U26" s="73">
        <v>29074</v>
      </c>
      <c r="V26" s="67"/>
      <c r="W26" s="67" t="s">
        <v>23</v>
      </c>
      <c r="X26" s="67">
        <v>7</v>
      </c>
      <c r="Y26" s="67">
        <v>0.5</v>
      </c>
      <c r="Z26" s="67">
        <f t="shared" si="2"/>
        <v>3.5</v>
      </c>
    </row>
    <row r="27" spans="1:26" x14ac:dyDescent="0.25">
      <c r="A27" s="21"/>
      <c r="B27" s="21" t="s">
        <v>15</v>
      </c>
      <c r="C27" s="21"/>
      <c r="D27" s="22"/>
      <c r="E27" s="22"/>
      <c r="F27" s="23">
        <v>576</v>
      </c>
      <c r="G27" s="24">
        <f t="shared" si="5"/>
        <v>0.75195822454308092</v>
      </c>
      <c r="H27" s="13"/>
      <c r="I27" s="25">
        <f t="shared" si="3"/>
        <v>12384</v>
      </c>
      <c r="K27" s="23">
        <f>L27*K21</f>
        <v>12713.38</v>
      </c>
      <c r="L27" s="24">
        <f t="shared" si="6"/>
        <v>0.77195822454308094</v>
      </c>
      <c r="M27" s="13"/>
      <c r="N27" s="25">
        <f t="shared" si="4"/>
        <v>31783.449999999997</v>
      </c>
      <c r="P27" s="59">
        <f>P21-6786</f>
        <v>76172</v>
      </c>
      <c r="Q27" s="99"/>
      <c r="R27" s="59">
        <v>31783.449999999997</v>
      </c>
      <c r="S27" s="99"/>
      <c r="U27" s="74">
        <v>24661</v>
      </c>
      <c r="V27" s="67"/>
      <c r="W27" s="67" t="s">
        <v>24</v>
      </c>
      <c r="X27" s="67">
        <v>5.5</v>
      </c>
      <c r="Y27" s="67">
        <v>1</v>
      </c>
      <c r="Z27" s="67">
        <f t="shared" si="2"/>
        <v>5.5</v>
      </c>
    </row>
    <row r="28" spans="1:26" x14ac:dyDescent="0.25">
      <c r="A28" s="2" t="s">
        <v>25</v>
      </c>
      <c r="D28" s="26"/>
      <c r="E28" s="26"/>
      <c r="F28" s="12">
        <v>2717</v>
      </c>
      <c r="G28" s="20">
        <f>F28/F$22</f>
        <v>0.13541666666666666</v>
      </c>
      <c r="H28" s="13"/>
      <c r="I28" s="14">
        <f>SUM(I24:I27)</f>
        <v>58415.5</v>
      </c>
      <c r="K28" s="12">
        <f>SUM(K24:K27)</f>
        <v>67043.02</v>
      </c>
      <c r="L28" s="20">
        <f>K28/K$22</f>
        <v>0.15541666666666668</v>
      </c>
      <c r="M28" s="13"/>
      <c r="N28" s="14">
        <f>SUM(N24:N27)</f>
        <v>167607.54999999999</v>
      </c>
      <c r="P28" s="58">
        <f>SUM(P24:P27)</f>
        <v>246035</v>
      </c>
      <c r="Q28" s="99"/>
      <c r="R28" s="58">
        <v>167607.54999999999</v>
      </c>
      <c r="S28" s="99"/>
      <c r="U28" s="73">
        <f>SUM(U24:U27)</f>
        <v>90722</v>
      </c>
      <c r="V28" s="67"/>
      <c r="W28" s="67" t="s">
        <v>26</v>
      </c>
      <c r="X28" s="67">
        <v>5.5</v>
      </c>
      <c r="Y28" s="67">
        <v>1</v>
      </c>
      <c r="Z28" s="67">
        <f t="shared" si="2"/>
        <v>5.5</v>
      </c>
    </row>
    <row r="29" spans="1:26" x14ac:dyDescent="0.25">
      <c r="D29" s="26"/>
      <c r="E29" s="26"/>
      <c r="F29" s="12"/>
      <c r="G29" s="18" t="s">
        <v>4</v>
      </c>
      <c r="H29" s="13"/>
      <c r="I29" s="14"/>
      <c r="K29" s="12"/>
      <c r="L29" s="18" t="s">
        <v>4</v>
      </c>
      <c r="M29" s="13"/>
      <c r="N29" s="14"/>
      <c r="P29" s="58"/>
      <c r="Q29" s="99"/>
      <c r="R29" s="58"/>
      <c r="S29" s="99"/>
      <c r="U29" s="73"/>
      <c r="V29" s="67"/>
      <c r="W29" s="67" t="s">
        <v>27</v>
      </c>
      <c r="X29" s="67">
        <v>3.5</v>
      </c>
      <c r="Y29" s="67">
        <v>1</v>
      </c>
      <c r="Z29" s="67">
        <f t="shared" si="2"/>
        <v>3.5</v>
      </c>
    </row>
    <row r="30" spans="1:26" x14ac:dyDescent="0.25">
      <c r="B30" s="2" t="s">
        <v>28</v>
      </c>
      <c r="D30" s="26"/>
      <c r="E30" s="26"/>
      <c r="F30" s="12">
        <v>210</v>
      </c>
      <c r="G30" s="20">
        <f>F30/F$22</f>
        <v>1.0466507177033494E-2</v>
      </c>
      <c r="H30" s="13"/>
      <c r="I30" s="14">
        <f t="shared" ref="I30:I33" si="7">$F30*I$14</f>
        <v>4515</v>
      </c>
      <c r="K30" s="12">
        <f>L30*K$22</f>
        <v>4313.76</v>
      </c>
      <c r="L30" s="20">
        <v>0.01</v>
      </c>
      <c r="M30" s="13"/>
      <c r="N30" s="14">
        <f t="shared" ref="N30:N33" si="8">K30*$N$14</f>
        <v>10784.400000000001</v>
      </c>
      <c r="P30" s="58"/>
      <c r="Q30" s="99"/>
      <c r="R30" s="58">
        <v>10784.400000000001</v>
      </c>
      <c r="S30" s="99"/>
      <c r="U30" s="73"/>
      <c r="V30" s="67"/>
      <c r="W30" s="67"/>
      <c r="X30" s="67"/>
      <c r="Y30" s="67">
        <f>SUM(Y18:Y29)</f>
        <v>15</v>
      </c>
      <c r="Z30" s="67">
        <f>SUM(Z18:Z29)</f>
        <v>74.5</v>
      </c>
    </row>
    <row r="31" spans="1:26" x14ac:dyDescent="0.25">
      <c r="B31" s="2" t="s">
        <v>29</v>
      </c>
      <c r="D31" s="26"/>
      <c r="E31" s="26"/>
      <c r="F31" s="12">
        <v>518</v>
      </c>
      <c r="G31" s="20">
        <f>F31/F$22</f>
        <v>2.5817384370015951E-2</v>
      </c>
      <c r="H31" s="13"/>
      <c r="I31" s="14">
        <f t="shared" si="7"/>
        <v>11137</v>
      </c>
      <c r="K31" s="12">
        <f t="shared" ref="K31:K33" si="9">L31*K$22</f>
        <v>17255.04</v>
      </c>
      <c r="L31" s="20">
        <v>0.04</v>
      </c>
      <c r="M31" s="13"/>
      <c r="N31" s="14">
        <f t="shared" si="8"/>
        <v>43137.600000000006</v>
      </c>
      <c r="P31" s="58"/>
      <c r="Q31" s="99"/>
      <c r="R31" s="58">
        <v>43137.600000000006</v>
      </c>
      <c r="S31" s="99"/>
      <c r="U31" s="73"/>
      <c r="V31" s="67"/>
      <c r="W31" s="67"/>
      <c r="X31" s="67"/>
      <c r="Y31" s="67"/>
      <c r="Z31" s="67"/>
    </row>
    <row r="32" spans="1:26" x14ac:dyDescent="0.25">
      <c r="B32" s="2" t="s">
        <v>30</v>
      </c>
      <c r="D32" s="26"/>
      <c r="E32" s="26"/>
      <c r="F32" s="12">
        <v>763</v>
      </c>
      <c r="G32" s="20">
        <f>F32/F$22</f>
        <v>3.8028309409888356E-2</v>
      </c>
      <c r="H32" s="13"/>
      <c r="I32" s="14">
        <f t="shared" si="7"/>
        <v>16404.5</v>
      </c>
      <c r="K32" s="12">
        <f t="shared" si="9"/>
        <v>12941.279999999999</v>
      </c>
      <c r="L32" s="20">
        <v>0.03</v>
      </c>
      <c r="M32" s="13"/>
      <c r="N32" s="14">
        <f t="shared" si="8"/>
        <v>32353.199999999997</v>
      </c>
      <c r="P32" s="58"/>
      <c r="Q32" s="99"/>
      <c r="R32" s="58">
        <v>32353.199999999997</v>
      </c>
      <c r="S32" s="99"/>
      <c r="U32" s="73"/>
      <c r="V32" s="67"/>
      <c r="W32" s="67" t="s">
        <v>31</v>
      </c>
      <c r="X32" s="67"/>
      <c r="Y32" s="67"/>
      <c r="Z32" s="70">
        <f>Z30/Y30</f>
        <v>4.9666666666666668</v>
      </c>
    </row>
    <row r="33" spans="1:26" x14ac:dyDescent="0.25">
      <c r="A33" s="21"/>
      <c r="B33" s="21" t="s">
        <v>32</v>
      </c>
      <c r="C33" s="21"/>
      <c r="D33" s="22"/>
      <c r="E33" s="22"/>
      <c r="F33" s="23">
        <v>905</v>
      </c>
      <c r="G33" s="24">
        <f>F33/F$22</f>
        <v>4.510566188197767E-2</v>
      </c>
      <c r="H33" s="13"/>
      <c r="I33" s="25">
        <f t="shared" si="7"/>
        <v>19457.5</v>
      </c>
      <c r="K33" s="23">
        <f t="shared" si="9"/>
        <v>12941.279999999999</v>
      </c>
      <c r="L33" s="24">
        <v>0.03</v>
      </c>
      <c r="M33" s="13"/>
      <c r="N33" s="25">
        <f t="shared" si="8"/>
        <v>32353.199999999997</v>
      </c>
      <c r="P33" s="59"/>
      <c r="Q33" s="99"/>
      <c r="R33" s="59">
        <v>32353.199999999997</v>
      </c>
      <c r="S33" s="99"/>
      <c r="U33" s="74"/>
      <c r="V33" s="67"/>
      <c r="W33" s="67"/>
      <c r="X33" s="67"/>
      <c r="Y33" s="67"/>
      <c r="Z33" s="67"/>
    </row>
    <row r="34" spans="1:26" x14ac:dyDescent="0.25">
      <c r="A34" s="2" t="s">
        <v>33</v>
      </c>
      <c r="D34" s="26"/>
      <c r="E34" s="26"/>
      <c r="F34" s="12">
        <v>2396</v>
      </c>
      <c r="G34" s="20">
        <f>F34/F$22</f>
        <v>0.11941786283891546</v>
      </c>
      <c r="H34" s="13"/>
      <c r="I34" s="14">
        <f>SUM(I30:I33)</f>
        <v>51514</v>
      </c>
      <c r="K34" s="12">
        <f>SUM(K30:K33)</f>
        <v>47451.360000000001</v>
      </c>
      <c r="L34" s="20">
        <f>K34/K$22</f>
        <v>0.11</v>
      </c>
      <c r="M34" s="13"/>
      <c r="N34" s="14">
        <f>SUM(N30:N33)</f>
        <v>118628.40000000001</v>
      </c>
      <c r="P34" s="58">
        <v>188519</v>
      </c>
      <c r="Q34" s="99"/>
      <c r="R34" s="58">
        <v>118628.40000000001</v>
      </c>
      <c r="S34" s="99"/>
      <c r="U34" s="73">
        <v>67070</v>
      </c>
      <c r="V34" s="67"/>
      <c r="W34" s="67"/>
      <c r="X34" s="67"/>
      <c r="Y34" s="67"/>
      <c r="Z34" s="67"/>
    </row>
    <row r="35" spans="1:26" x14ac:dyDescent="0.25">
      <c r="A35" s="21"/>
      <c r="B35" s="21"/>
      <c r="C35" s="21"/>
      <c r="D35" s="28"/>
      <c r="E35" s="28"/>
      <c r="F35" s="29"/>
      <c r="G35" s="30" t="s">
        <v>4</v>
      </c>
      <c r="H35" s="13"/>
      <c r="I35" s="31"/>
      <c r="K35" s="29"/>
      <c r="L35" s="30" t="s">
        <v>4</v>
      </c>
      <c r="M35" s="13"/>
      <c r="N35" s="31"/>
      <c r="P35" s="60"/>
      <c r="Q35" s="50"/>
      <c r="R35" s="60"/>
      <c r="U35" s="75"/>
      <c r="V35" s="67"/>
      <c r="W35" s="67"/>
      <c r="X35" s="67"/>
      <c r="Y35" s="67"/>
      <c r="Z35" s="67"/>
    </row>
    <row r="36" spans="1:26" x14ac:dyDescent="0.25">
      <c r="A36" s="2" t="s">
        <v>34</v>
      </c>
      <c r="D36" s="26"/>
      <c r="E36" s="26"/>
      <c r="F36" s="23">
        <v>321</v>
      </c>
      <c r="G36" s="32">
        <f>F36/F$22</f>
        <v>1.5998803827751196E-2</v>
      </c>
      <c r="H36" s="21"/>
      <c r="I36" s="25">
        <f>I28-I34</f>
        <v>6901.5</v>
      </c>
      <c r="K36" s="23">
        <f>K28-K34</f>
        <v>19591.660000000003</v>
      </c>
      <c r="L36" s="32">
        <v>0.04</v>
      </c>
      <c r="M36" s="21"/>
      <c r="N36" s="25">
        <f>N28-N34</f>
        <v>48979.14999999998</v>
      </c>
      <c r="P36" s="59">
        <f>P28-P34</f>
        <v>57516</v>
      </c>
      <c r="Q36" s="99"/>
      <c r="R36" s="59">
        <v>48979.14999999998</v>
      </c>
      <c r="S36" s="123"/>
      <c r="U36" s="74">
        <f>20102+4548+232</f>
        <v>24882</v>
      </c>
      <c r="V36" s="67"/>
      <c r="W36" s="67"/>
      <c r="X36" s="67"/>
      <c r="Y36" s="67"/>
      <c r="Z36" s="67"/>
    </row>
    <row r="37" spans="1:26" ht="27" customHeight="1" x14ac:dyDescent="0.25">
      <c r="D37" s="26"/>
      <c r="E37" s="26"/>
      <c r="F37" s="33"/>
      <c r="G37" s="13"/>
      <c r="H37" s="13"/>
      <c r="I37" s="33"/>
      <c r="J37" s="13"/>
      <c r="K37" s="13"/>
      <c r="L37" s="13"/>
      <c r="M37" s="13"/>
      <c r="N37" s="13"/>
      <c r="O37" s="13"/>
      <c r="P37" s="13"/>
      <c r="Q37" s="13"/>
      <c r="R37" s="13"/>
      <c r="S37" s="13"/>
      <c r="U37" s="76"/>
      <c r="V37" s="67"/>
      <c r="W37" s="67"/>
      <c r="X37" s="67"/>
      <c r="Y37" s="67"/>
      <c r="Z37" s="67"/>
    </row>
    <row r="38" spans="1:26" x14ac:dyDescent="0.25">
      <c r="B38" s="1"/>
      <c r="C38" s="1"/>
      <c r="D38" s="1"/>
      <c r="E38" s="1"/>
      <c r="F38" s="3" t="s">
        <v>65</v>
      </c>
      <c r="G38" s="4"/>
      <c r="H38" s="4"/>
      <c r="I38" s="5"/>
      <c r="K38" s="3" t="s">
        <v>66</v>
      </c>
      <c r="L38" s="4"/>
      <c r="M38" s="4"/>
      <c r="N38" s="5"/>
      <c r="O38" s="1"/>
      <c r="P38" s="55"/>
      <c r="Q38" s="98"/>
      <c r="R38" s="104"/>
      <c r="S38" s="6"/>
      <c r="U38" s="68" t="s">
        <v>64</v>
      </c>
      <c r="V38" s="67"/>
      <c r="W38" s="67"/>
      <c r="X38" s="67"/>
      <c r="Y38" s="67"/>
      <c r="Z38" s="67"/>
    </row>
    <row r="39" spans="1:26" x14ac:dyDescent="0.25">
      <c r="F39" s="114" t="s">
        <v>2</v>
      </c>
      <c r="G39" s="115"/>
      <c r="H39" s="116"/>
      <c r="I39" s="119" t="s">
        <v>62</v>
      </c>
      <c r="J39" s="8"/>
      <c r="K39" s="118" t="s">
        <v>61</v>
      </c>
      <c r="L39" s="116"/>
      <c r="M39" s="116"/>
      <c r="N39" s="119" t="s">
        <v>63</v>
      </c>
      <c r="O39" s="8"/>
      <c r="P39" s="120" t="s">
        <v>64</v>
      </c>
      <c r="Q39" s="7"/>
      <c r="R39" s="120" t="s">
        <v>89</v>
      </c>
      <c r="S39" s="6"/>
      <c r="U39" s="69">
        <v>2006</v>
      </c>
      <c r="V39" s="67"/>
      <c r="W39" s="67" t="s">
        <v>1</v>
      </c>
      <c r="X39" s="67"/>
      <c r="Y39" s="67"/>
      <c r="Z39" s="70">
        <v>21.481259968102073</v>
      </c>
    </row>
    <row r="41" spans="1:26" x14ac:dyDescent="0.25">
      <c r="A41" s="1" t="s">
        <v>35</v>
      </c>
      <c r="B41" s="1"/>
      <c r="C41" s="1"/>
      <c r="D41" s="1"/>
      <c r="E41" s="1"/>
      <c r="F41" s="34"/>
      <c r="G41" s="35"/>
      <c r="H41" s="35"/>
      <c r="I41" s="36"/>
      <c r="K41" s="37"/>
      <c r="L41" s="35"/>
      <c r="M41" s="35"/>
      <c r="N41" s="38"/>
      <c r="P41" s="61"/>
      <c r="Q41" s="13"/>
      <c r="R41" s="61"/>
      <c r="S41" s="13"/>
      <c r="U41" s="77"/>
      <c r="V41" s="67"/>
      <c r="W41" s="67"/>
      <c r="X41" s="67"/>
      <c r="Y41" s="67"/>
      <c r="Z41" s="67"/>
    </row>
    <row r="42" spans="1:26" s="39" customFormat="1" x14ac:dyDescent="0.25">
      <c r="B42" s="39" t="s">
        <v>36</v>
      </c>
      <c r="F42" s="40">
        <v>632</v>
      </c>
      <c r="G42" s="50"/>
      <c r="H42" s="41"/>
      <c r="I42" s="14">
        <f>$P42*$I$22/$P$22</f>
        <v>10749.805177993527</v>
      </c>
      <c r="K42" s="40">
        <f>I42</f>
        <v>10749.805177993527</v>
      </c>
      <c r="L42" s="52"/>
      <c r="M42" s="41"/>
      <c r="N42" s="42">
        <f>K42*$N$14</f>
        <v>26874.512944983817</v>
      </c>
      <c r="P42" s="62">
        <v>35113</v>
      </c>
      <c r="Q42" s="100"/>
      <c r="R42" s="62">
        <v>26874.512944983817</v>
      </c>
      <c r="S42" s="100"/>
      <c r="U42" s="73">
        <v>9797</v>
      </c>
      <c r="V42" s="67"/>
      <c r="W42" s="67"/>
      <c r="X42" s="67"/>
      <c r="Y42" s="67"/>
      <c r="Z42" s="67"/>
    </row>
    <row r="43" spans="1:26" x14ac:dyDescent="0.25">
      <c r="B43" s="2" t="s">
        <v>37</v>
      </c>
      <c r="F43" s="17">
        <v>777</v>
      </c>
      <c r="G43" s="50"/>
      <c r="H43" s="13"/>
      <c r="I43" s="14">
        <f>$P43*$I$22/$P$22</f>
        <v>17686.526213592231</v>
      </c>
      <c r="K43" s="17">
        <f>I43</f>
        <v>17686.526213592231</v>
      </c>
      <c r="L43" s="50"/>
      <c r="M43" s="13"/>
      <c r="N43" s="14">
        <f>K43*$N$14</f>
        <v>44216.315533980582</v>
      </c>
      <c r="P43" s="58">
        <v>57771</v>
      </c>
      <c r="Q43" s="99"/>
      <c r="R43" s="58">
        <v>44216.315533980582</v>
      </c>
      <c r="S43" s="99"/>
      <c r="U43" s="73">
        <v>27578</v>
      </c>
      <c r="V43" s="67"/>
      <c r="W43" s="67"/>
      <c r="X43" s="67"/>
      <c r="Y43" s="67"/>
      <c r="Z43" s="67"/>
    </row>
    <row r="44" spans="1:26" s="39" customFormat="1" x14ac:dyDescent="0.25">
      <c r="C44" s="39" t="s">
        <v>38</v>
      </c>
      <c r="D44" s="43"/>
      <c r="E44" s="43"/>
      <c r="F44" s="40"/>
      <c r="G44" s="41"/>
      <c r="H44" s="41"/>
      <c r="I44" s="44"/>
      <c r="K44" s="40"/>
      <c r="L44" s="52"/>
      <c r="M44" s="41"/>
      <c r="N44" s="44"/>
      <c r="P44" s="63"/>
      <c r="Q44" s="52"/>
      <c r="R44" s="63"/>
      <c r="S44" s="52"/>
      <c r="U44" s="78"/>
      <c r="V44" s="67"/>
      <c r="W44" s="67"/>
      <c r="X44" s="67"/>
      <c r="Y44" s="67"/>
      <c r="Z44" s="67"/>
    </row>
    <row r="45" spans="1:26" s="39" customFormat="1" x14ac:dyDescent="0.25">
      <c r="C45" s="39" t="s">
        <v>39</v>
      </c>
      <c r="D45" s="43"/>
      <c r="E45" s="43"/>
      <c r="F45" s="40"/>
      <c r="G45" s="41"/>
      <c r="H45" s="41"/>
      <c r="I45" s="44"/>
      <c r="K45" s="40"/>
      <c r="L45" s="52"/>
      <c r="M45" s="41"/>
      <c r="N45" s="44"/>
      <c r="P45" s="63"/>
      <c r="Q45" s="52"/>
      <c r="R45" s="63"/>
      <c r="S45" s="52"/>
      <c r="U45" s="78"/>
      <c r="V45" s="67"/>
      <c r="W45" s="67"/>
      <c r="X45" s="67"/>
      <c r="Y45" s="67"/>
      <c r="Z45" s="67"/>
    </row>
    <row r="46" spans="1:26" s="39" customFormat="1" x14ac:dyDescent="0.25">
      <c r="C46" s="39" t="s">
        <v>40</v>
      </c>
      <c r="D46" s="43"/>
      <c r="E46" s="43"/>
      <c r="F46" s="40"/>
      <c r="G46" s="41"/>
      <c r="H46" s="41"/>
      <c r="I46" s="44"/>
      <c r="K46" s="40"/>
      <c r="L46" s="52"/>
      <c r="M46" s="41"/>
      <c r="N46" s="44"/>
      <c r="P46" s="63"/>
      <c r="Q46" s="52"/>
      <c r="R46" s="63"/>
      <c r="S46" s="52"/>
      <c r="U46" s="78"/>
      <c r="V46" s="67"/>
      <c r="W46" s="67"/>
      <c r="X46" s="67"/>
      <c r="Y46" s="67"/>
      <c r="Z46" s="67"/>
    </row>
    <row r="47" spans="1:26" s="39" customFormat="1" x14ac:dyDescent="0.25">
      <c r="A47" s="45"/>
      <c r="B47" s="45" t="s">
        <v>41</v>
      </c>
      <c r="C47" s="45"/>
      <c r="D47" s="45"/>
      <c r="E47" s="45"/>
      <c r="F47" s="46">
        <v>5837</v>
      </c>
      <c r="G47" s="50"/>
      <c r="H47" s="41"/>
      <c r="I47" s="47">
        <f>F47*I$14*0.8787</f>
        <v>110272.89585</v>
      </c>
      <c r="K47" s="46">
        <f>I47</f>
        <v>110272.89585</v>
      </c>
      <c r="L47" s="52"/>
      <c r="M47" s="41"/>
      <c r="N47" s="47">
        <f>K47*$N$14</f>
        <v>275682.23962499999</v>
      </c>
      <c r="P47" s="64">
        <f>278091+13000</f>
        <v>291091</v>
      </c>
      <c r="Q47" s="100"/>
      <c r="R47" s="64">
        <v>275682.23962499999</v>
      </c>
      <c r="S47" s="100"/>
      <c r="U47" s="74">
        <f>107232+5375-800+54</f>
        <v>111861</v>
      </c>
      <c r="V47" s="67"/>
      <c r="W47" s="67"/>
      <c r="X47" s="67"/>
      <c r="Y47" s="67"/>
      <c r="Z47" s="67"/>
    </row>
    <row r="48" spans="1:26" x14ac:dyDescent="0.25">
      <c r="A48" s="2" t="s">
        <v>42</v>
      </c>
      <c r="F48" s="17">
        <v>7246</v>
      </c>
      <c r="G48" s="13"/>
      <c r="H48" s="13"/>
      <c r="I48" s="19">
        <f>SUM(I42:I47)</f>
        <v>138709.22724158576</v>
      </c>
      <c r="K48" s="17">
        <f>SUM(K42:K47)</f>
        <v>138709.22724158576</v>
      </c>
      <c r="L48" s="50"/>
      <c r="M48" s="13"/>
      <c r="N48" s="19">
        <f>SUM(N42:N47)</f>
        <v>346773.06810396438</v>
      </c>
      <c r="P48" s="65">
        <f>P47+P43+P42</f>
        <v>383975</v>
      </c>
      <c r="Q48" s="50"/>
      <c r="R48" s="65">
        <v>346773.06810396438</v>
      </c>
      <c r="S48" s="50"/>
      <c r="U48" s="78">
        <f>U47+U43+U42</f>
        <v>149236</v>
      </c>
      <c r="V48" s="67"/>
      <c r="W48" s="67"/>
      <c r="X48" s="67"/>
      <c r="Y48" s="67"/>
      <c r="Z48" s="67"/>
    </row>
    <row r="49" spans="1:26" x14ac:dyDescent="0.25">
      <c r="F49" s="17"/>
      <c r="G49" s="13"/>
      <c r="H49" s="13"/>
      <c r="I49" s="19"/>
      <c r="K49" s="17"/>
      <c r="L49" s="50"/>
      <c r="M49" s="13"/>
      <c r="N49" s="19"/>
      <c r="P49" s="65"/>
      <c r="Q49" s="50"/>
      <c r="R49" s="65"/>
      <c r="S49" s="50"/>
      <c r="U49" s="78"/>
      <c r="V49" s="67"/>
      <c r="W49" s="67"/>
      <c r="X49" s="67"/>
      <c r="Y49" s="67"/>
      <c r="Z49" s="67"/>
    </row>
    <row r="50" spans="1:26" x14ac:dyDescent="0.25">
      <c r="B50" s="2" t="s">
        <v>57</v>
      </c>
      <c r="F50" s="17"/>
      <c r="G50" s="13"/>
      <c r="H50" s="13"/>
      <c r="I50" s="19"/>
      <c r="K50" s="17"/>
      <c r="L50" s="50"/>
      <c r="M50" s="50"/>
      <c r="N50" s="19">
        <f>75000+K50</f>
        <v>75000</v>
      </c>
      <c r="P50" s="65">
        <v>108985</v>
      </c>
      <c r="Q50" s="50"/>
      <c r="R50" s="65">
        <v>75000</v>
      </c>
      <c r="S50" s="50"/>
      <c r="U50" s="78"/>
      <c r="V50" s="67"/>
      <c r="W50" s="67"/>
      <c r="X50" s="67"/>
      <c r="Y50" s="67"/>
      <c r="Z50" s="67"/>
    </row>
    <row r="51" spans="1:26" x14ac:dyDescent="0.25">
      <c r="A51" s="21"/>
      <c r="B51" s="21" t="s">
        <v>43</v>
      </c>
      <c r="C51" s="21"/>
      <c r="D51" s="21"/>
      <c r="E51" s="21"/>
      <c r="F51" s="29">
        <v>601</v>
      </c>
      <c r="G51" s="50"/>
      <c r="H51" s="13"/>
      <c r="I51" s="47">
        <f>F51*I$14</f>
        <v>12921.5</v>
      </c>
      <c r="K51" s="29">
        <f>I51</f>
        <v>12921.5</v>
      </c>
      <c r="L51" s="50"/>
      <c r="M51" s="50"/>
      <c r="N51" s="31">
        <f>35000+K51</f>
        <v>47921.5</v>
      </c>
      <c r="P51" s="60">
        <v>122915</v>
      </c>
      <c r="Q51" s="50"/>
      <c r="R51" s="60">
        <v>47921.5</v>
      </c>
      <c r="S51" s="50"/>
      <c r="U51" s="75">
        <v>9819</v>
      </c>
      <c r="V51" s="67"/>
      <c r="W51" s="67"/>
      <c r="X51" s="67"/>
      <c r="Y51" s="67"/>
      <c r="Z51" s="67"/>
    </row>
    <row r="52" spans="1:26" x14ac:dyDescent="0.25">
      <c r="A52" s="2" t="s">
        <v>68</v>
      </c>
      <c r="F52" s="17">
        <f>812-211</f>
        <v>601</v>
      </c>
      <c r="G52" s="50"/>
      <c r="H52" s="13"/>
      <c r="I52" s="19">
        <f>I50+I51</f>
        <v>12921.5</v>
      </c>
      <c r="K52" s="17">
        <f>K50+K51</f>
        <v>12921.5</v>
      </c>
      <c r="L52" s="50"/>
      <c r="M52" s="13"/>
      <c r="N52" s="19">
        <f>N50+N51</f>
        <v>122921.5</v>
      </c>
      <c r="P52" s="65">
        <f>P50+P51</f>
        <v>231900</v>
      </c>
      <c r="Q52" s="50"/>
      <c r="R52" s="65">
        <v>122921.5</v>
      </c>
      <c r="S52" s="50"/>
      <c r="U52" s="78">
        <f>U51</f>
        <v>9819</v>
      </c>
      <c r="V52" s="67"/>
      <c r="W52" s="67"/>
      <c r="X52" s="67"/>
      <c r="Y52" s="67"/>
      <c r="Z52" s="67"/>
    </row>
    <row r="53" spans="1:26" x14ac:dyDescent="0.25">
      <c r="A53" s="21"/>
      <c r="B53" s="21"/>
      <c r="C53" s="21"/>
      <c r="D53" s="21"/>
      <c r="E53" s="21"/>
      <c r="F53" s="29"/>
      <c r="G53" s="13"/>
      <c r="H53" s="13"/>
      <c r="I53" s="31"/>
      <c r="K53" s="29"/>
      <c r="L53" s="50"/>
      <c r="M53" s="13"/>
      <c r="N53" s="31"/>
      <c r="P53" s="60"/>
      <c r="Q53" s="50"/>
      <c r="R53" s="60"/>
      <c r="S53" s="50"/>
      <c r="U53" s="75"/>
      <c r="V53" s="67"/>
      <c r="W53" s="67"/>
      <c r="X53" s="67"/>
      <c r="Y53" s="67"/>
      <c r="Z53" s="67"/>
    </row>
    <row r="54" spans="1:26" x14ac:dyDescent="0.25">
      <c r="A54" s="2" t="s">
        <v>44</v>
      </c>
      <c r="F54" s="17">
        <f>8058-211</f>
        <v>7847</v>
      </c>
      <c r="G54" s="13"/>
      <c r="H54" s="13"/>
      <c r="I54" s="19">
        <f>I48+I52</f>
        <v>151630.72724158576</v>
      </c>
      <c r="K54" s="17">
        <f>K48+K52</f>
        <v>151630.72724158576</v>
      </c>
      <c r="L54" s="50"/>
      <c r="M54" s="13"/>
      <c r="N54" s="19">
        <f>N48+N52</f>
        <v>469694.56810396438</v>
      </c>
      <c r="P54" s="65">
        <f>P48+P52</f>
        <v>615875</v>
      </c>
      <c r="Q54" s="50"/>
      <c r="R54" s="65">
        <v>469694.56810396438</v>
      </c>
      <c r="S54" s="50"/>
      <c r="U54" s="78">
        <f>U52+U48</f>
        <v>159055</v>
      </c>
      <c r="V54" s="67"/>
      <c r="W54" s="67"/>
      <c r="X54" s="67"/>
      <c r="Y54" s="67"/>
      <c r="Z54" s="67"/>
    </row>
    <row r="55" spans="1:26" x14ac:dyDescent="0.25">
      <c r="F55" s="17"/>
      <c r="G55" s="13"/>
      <c r="H55" s="13"/>
      <c r="I55" s="19"/>
      <c r="K55" s="17"/>
      <c r="L55" s="50"/>
      <c r="M55" s="13"/>
      <c r="N55" s="19"/>
      <c r="P55" s="65"/>
      <c r="Q55" s="50"/>
      <c r="R55" s="65"/>
      <c r="S55" s="50"/>
      <c r="U55" s="78"/>
      <c r="V55" s="67"/>
      <c r="W55" s="67"/>
      <c r="X55" s="67"/>
      <c r="Y55" s="67"/>
      <c r="Z55" s="67"/>
    </row>
    <row r="56" spans="1:26" x14ac:dyDescent="0.25">
      <c r="B56" s="2" t="s">
        <v>45</v>
      </c>
      <c r="F56" s="17">
        <v>4924</v>
      </c>
      <c r="G56" s="54"/>
      <c r="H56" s="13"/>
      <c r="I56" s="48">
        <f>$P56*$I$22/$P$22</f>
        <v>80877.795469255667</v>
      </c>
      <c r="K56" s="17">
        <f t="shared" ref="K56:K59" si="10">I56</f>
        <v>80877.795469255667</v>
      </c>
      <c r="L56" s="50"/>
      <c r="M56" s="13"/>
      <c r="N56" s="48">
        <f>K56*$N$14+459695-447091</f>
        <v>214798.48867313913</v>
      </c>
      <c r="P56" s="66">
        <v>264178</v>
      </c>
      <c r="Q56" s="101"/>
      <c r="R56" s="66">
        <v>214798.48867313913</v>
      </c>
      <c r="S56" s="101"/>
      <c r="U56" s="78">
        <v>98023</v>
      </c>
      <c r="V56" s="67"/>
      <c r="W56" s="67"/>
      <c r="X56" s="67"/>
      <c r="Y56" s="67"/>
      <c r="Z56" s="67"/>
    </row>
    <row r="57" spans="1:26" x14ac:dyDescent="0.25">
      <c r="B57" s="2" t="s">
        <v>46</v>
      </c>
      <c r="F57" s="17">
        <v>300</v>
      </c>
      <c r="G57" s="54"/>
      <c r="H57" s="13"/>
      <c r="I57" s="48">
        <f>$P57*$I$22/$P$22</f>
        <v>15438.47508090615</v>
      </c>
      <c r="K57" s="17">
        <f t="shared" si="10"/>
        <v>15438.47508090615</v>
      </c>
      <c r="L57" s="50"/>
      <c r="M57" s="13"/>
      <c r="N57" s="48">
        <f>K57*$N$14</f>
        <v>38596.187702265372</v>
      </c>
      <c r="P57" s="66">
        <v>50428</v>
      </c>
      <c r="Q57" s="101"/>
      <c r="R57" s="66">
        <v>38596.187702265372</v>
      </c>
      <c r="S57" s="101"/>
      <c r="U57" s="78">
        <v>14474</v>
      </c>
      <c r="V57" s="67"/>
      <c r="W57" s="67"/>
      <c r="X57" s="67"/>
      <c r="Y57" s="67"/>
      <c r="Z57" s="67"/>
    </row>
    <row r="58" spans="1:26" x14ac:dyDescent="0.25">
      <c r="A58" s="13"/>
      <c r="B58" s="13" t="s">
        <v>47</v>
      </c>
      <c r="C58" s="13"/>
      <c r="D58" s="13"/>
      <c r="E58" s="13"/>
      <c r="F58" s="17">
        <v>425</v>
      </c>
      <c r="G58" s="54"/>
      <c r="H58" s="13"/>
      <c r="I58" s="19">
        <f>$P58*$I$22/$P$22</f>
        <v>3000.2588996763752</v>
      </c>
      <c r="K58" s="17">
        <f t="shared" si="10"/>
        <v>3000.2588996763752</v>
      </c>
      <c r="L58" s="50"/>
      <c r="M58" s="13"/>
      <c r="N58" s="19">
        <f>K58*$N$14</f>
        <v>7500.6472491909381</v>
      </c>
      <c r="P58" s="65">
        <v>9800</v>
      </c>
      <c r="Q58" s="50"/>
      <c r="R58" s="65">
        <v>7500.6472491909381</v>
      </c>
      <c r="S58" s="50"/>
      <c r="U58" s="78">
        <v>28040</v>
      </c>
      <c r="V58" s="67"/>
      <c r="W58" s="67"/>
      <c r="X58" s="67"/>
      <c r="Y58" s="67"/>
      <c r="Z58" s="67"/>
    </row>
    <row r="59" spans="1:26" x14ac:dyDescent="0.25">
      <c r="A59" s="21"/>
      <c r="B59" s="21" t="s">
        <v>48</v>
      </c>
      <c r="C59" s="21"/>
      <c r="D59" s="21"/>
      <c r="E59" s="21"/>
      <c r="F59" s="29">
        <v>545</v>
      </c>
      <c r="G59" s="54"/>
      <c r="H59" s="13"/>
      <c r="I59" s="31">
        <f>$P59*$I$22/$P$22</f>
        <v>30990.531391585762</v>
      </c>
      <c r="K59" s="29">
        <f t="shared" si="10"/>
        <v>30990.531391585762</v>
      </c>
      <c r="L59" s="50"/>
      <c r="M59" s="13"/>
      <c r="N59" s="31">
        <f>K59*$N$14</f>
        <v>77476.328478964409</v>
      </c>
      <c r="P59" s="60">
        <f>83580+615875-598228</f>
        <v>101227</v>
      </c>
      <c r="Q59" s="50"/>
      <c r="R59" s="60">
        <v>77476.328478964409</v>
      </c>
      <c r="S59" s="50"/>
      <c r="U59" s="75">
        <f>12770+6001</f>
        <v>18771</v>
      </c>
      <c r="V59" s="67"/>
      <c r="W59" s="67"/>
      <c r="X59" s="67"/>
      <c r="Y59" s="67"/>
      <c r="Z59" s="67"/>
    </row>
    <row r="60" spans="1:26" x14ac:dyDescent="0.25">
      <c r="A60" s="2" t="s">
        <v>49</v>
      </c>
      <c r="F60" s="17">
        <f>SUM(F56:F59)</f>
        <v>6194</v>
      </c>
      <c r="G60" s="50"/>
      <c r="H60" s="13"/>
      <c r="I60" s="19">
        <f>SUM(I56:I59)</f>
        <v>130307.06084142395</v>
      </c>
      <c r="K60" s="17">
        <f>SUM(K56:K59)</f>
        <v>130307.06084142395</v>
      </c>
      <c r="L60" s="50"/>
      <c r="M60" s="13"/>
      <c r="N60" s="19">
        <f>SUM(N56:N59)</f>
        <v>338371.65210355987</v>
      </c>
      <c r="P60" s="65">
        <f>SUM(P56:P59)</f>
        <v>425633</v>
      </c>
      <c r="Q60" s="50"/>
      <c r="R60" s="65">
        <v>338371.65210355987</v>
      </c>
      <c r="S60" s="50"/>
      <c r="U60" s="78">
        <f>SUM(U56:U59)</f>
        <v>159308</v>
      </c>
      <c r="V60" s="67"/>
      <c r="W60" s="67"/>
      <c r="X60" s="67"/>
      <c r="Y60" s="67"/>
      <c r="Z60" s="67"/>
    </row>
    <row r="61" spans="1:26" x14ac:dyDescent="0.25">
      <c r="F61" s="17"/>
      <c r="G61" s="13"/>
      <c r="H61" s="13"/>
      <c r="I61" s="19"/>
      <c r="K61" s="17"/>
      <c r="L61" s="50"/>
      <c r="M61" s="13"/>
      <c r="N61" s="19"/>
      <c r="P61" s="65"/>
      <c r="Q61" s="50"/>
      <c r="R61" s="65"/>
      <c r="S61" s="50"/>
      <c r="U61" s="78"/>
      <c r="V61" s="67"/>
      <c r="W61" s="67"/>
      <c r="X61" s="67"/>
      <c r="Y61" s="67"/>
      <c r="Z61" s="67"/>
    </row>
    <row r="62" spans="1:26" x14ac:dyDescent="0.25">
      <c r="B62" s="2" t="s">
        <v>50</v>
      </c>
      <c r="F62" s="17">
        <f>769-211</f>
        <v>558</v>
      </c>
      <c r="G62" s="54"/>
      <c r="H62" s="13"/>
      <c r="I62" s="19">
        <f>F62*I$14*0.6</f>
        <v>7198.2</v>
      </c>
      <c r="K62" s="17">
        <f t="shared" ref="K62:K63" si="11">I62</f>
        <v>7198.2</v>
      </c>
      <c r="L62" s="50"/>
      <c r="M62" s="50"/>
      <c r="N62" s="19">
        <f>K62+110000</f>
        <v>117198.2</v>
      </c>
      <c r="P62" s="65">
        <v>190242</v>
      </c>
      <c r="Q62" s="50"/>
      <c r="R62" s="65">
        <v>117198.2</v>
      </c>
      <c r="S62" s="50"/>
      <c r="U62" s="78">
        <v>1</v>
      </c>
      <c r="V62" s="67"/>
      <c r="W62" s="67"/>
      <c r="X62" s="67"/>
      <c r="Y62" s="67"/>
      <c r="Z62" s="67"/>
    </row>
    <row r="63" spans="1:26" x14ac:dyDescent="0.25">
      <c r="A63" s="21"/>
      <c r="B63" s="21" t="s">
        <v>51</v>
      </c>
      <c r="C63" s="21"/>
      <c r="D63" s="21"/>
      <c r="E63" s="21"/>
      <c r="F63" s="29">
        <v>1095</v>
      </c>
      <c r="G63" s="54"/>
      <c r="H63" s="13"/>
      <c r="I63" s="31">
        <f>F63*I$14*0.6</f>
        <v>14125.5</v>
      </c>
      <c r="K63" s="29">
        <f t="shared" si="11"/>
        <v>14125.5</v>
      </c>
      <c r="L63" s="50"/>
      <c r="M63" s="13"/>
      <c r="N63" s="31">
        <f>K63</f>
        <v>14125.5</v>
      </c>
      <c r="P63" s="60">
        <v>0</v>
      </c>
      <c r="Q63" s="50"/>
      <c r="R63" s="60">
        <v>14125.5</v>
      </c>
      <c r="S63" s="50"/>
      <c r="U63" s="75">
        <f>991-1245</f>
        <v>-254</v>
      </c>
      <c r="V63" s="67"/>
      <c r="W63" s="67"/>
      <c r="X63" s="67"/>
      <c r="Y63" s="67"/>
      <c r="Z63" s="67"/>
    </row>
    <row r="64" spans="1:26" x14ac:dyDescent="0.25">
      <c r="A64" s="2" t="s">
        <v>52</v>
      </c>
      <c r="F64" s="17">
        <f>1864-211</f>
        <v>1653</v>
      </c>
      <c r="G64" s="13"/>
      <c r="H64" s="13"/>
      <c r="I64" s="19">
        <f>I62+I63</f>
        <v>21323.7</v>
      </c>
      <c r="K64" s="17">
        <f>SUM(K62:K63)</f>
        <v>21323.7</v>
      </c>
      <c r="L64" s="50"/>
      <c r="M64" s="13"/>
      <c r="N64" s="19">
        <f>SUM(N62:N63)</f>
        <v>131323.70000000001</v>
      </c>
      <c r="P64" s="65">
        <f>P62+P63</f>
        <v>190242</v>
      </c>
      <c r="Q64" s="50"/>
      <c r="R64" s="65">
        <v>131323.70000000001</v>
      </c>
      <c r="S64" s="50"/>
      <c r="U64" s="78">
        <f>U62+U63</f>
        <v>-253</v>
      </c>
      <c r="V64" s="67"/>
      <c r="W64" s="67"/>
      <c r="X64" s="67"/>
      <c r="Y64" s="67"/>
      <c r="Z64" s="67"/>
    </row>
    <row r="65" spans="1:26" x14ac:dyDescent="0.25">
      <c r="A65" s="21"/>
      <c r="B65" s="21"/>
      <c r="C65" s="21"/>
      <c r="D65" s="21"/>
      <c r="E65" s="21"/>
      <c r="F65" s="29"/>
      <c r="G65" s="13"/>
      <c r="H65" s="13"/>
      <c r="I65" s="31"/>
      <c r="K65" s="29"/>
      <c r="L65" s="50"/>
      <c r="M65" s="13"/>
      <c r="N65" s="31"/>
      <c r="P65" s="60"/>
      <c r="Q65" s="50"/>
      <c r="R65" s="60"/>
      <c r="S65" s="50"/>
      <c r="U65" s="75"/>
      <c r="V65" s="67"/>
      <c r="W65" s="67"/>
      <c r="X65" s="67"/>
      <c r="Y65" s="67"/>
      <c r="Z65" s="67"/>
    </row>
    <row r="66" spans="1:26" x14ac:dyDescent="0.25">
      <c r="A66" s="2" t="s">
        <v>92</v>
      </c>
      <c r="F66" s="29">
        <f>8058-211</f>
        <v>7847</v>
      </c>
      <c r="G66" s="21"/>
      <c r="H66" s="21"/>
      <c r="I66" s="31">
        <f>I60+I64</f>
        <v>151630.76084142397</v>
      </c>
      <c r="K66" s="29">
        <f>K60+K64</f>
        <v>151630.76084142397</v>
      </c>
      <c r="L66" s="28"/>
      <c r="M66" s="21"/>
      <c r="N66" s="31">
        <f>N60+N64</f>
        <v>469695.35210355988</v>
      </c>
      <c r="P66" s="60">
        <f>P60+P64</f>
        <v>615875</v>
      </c>
      <c r="Q66" s="50"/>
      <c r="R66" s="60">
        <v>469695.35210355988</v>
      </c>
      <c r="S66" s="50"/>
      <c r="U66" s="75">
        <f>U60+U64</f>
        <v>159055</v>
      </c>
      <c r="V66" s="67"/>
      <c r="W66" s="67"/>
      <c r="X66" s="67"/>
      <c r="Y66" s="67"/>
      <c r="Z66" s="67"/>
    </row>
    <row r="67" spans="1:26" x14ac:dyDescent="0.25">
      <c r="U67" s="67"/>
      <c r="V67" s="67"/>
      <c r="W67" s="67"/>
      <c r="X67" s="67"/>
      <c r="Y67" s="67"/>
      <c r="Z67" s="67"/>
    </row>
    <row r="68" spans="1:26" x14ac:dyDescent="0.25">
      <c r="A68" s="1" t="s">
        <v>53</v>
      </c>
      <c r="U68" s="67"/>
      <c r="V68" s="67"/>
      <c r="W68" s="67"/>
      <c r="X68" s="67"/>
      <c r="Y68" s="67"/>
      <c r="Z68" s="67"/>
    </row>
    <row r="69" spans="1:26" x14ac:dyDescent="0.25">
      <c r="A69" s="2" t="s">
        <v>54</v>
      </c>
      <c r="F69" s="2">
        <v>5</v>
      </c>
      <c r="I69" s="2">
        <v>5</v>
      </c>
      <c r="K69" s="2">
        <v>5</v>
      </c>
      <c r="N69" s="2">
        <v>5</v>
      </c>
      <c r="P69" s="2">
        <v>15</v>
      </c>
      <c r="R69" s="2">
        <v>15</v>
      </c>
      <c r="U69" s="67">
        <v>15</v>
      </c>
      <c r="V69" s="67"/>
      <c r="W69" s="67"/>
      <c r="X69" s="67"/>
      <c r="Y69" s="67"/>
      <c r="Z69" s="67"/>
    </row>
    <row r="70" spans="1:26" x14ac:dyDescent="0.25">
      <c r="A70" s="2" t="s">
        <v>44</v>
      </c>
      <c r="F70" s="49">
        <f>F54</f>
        <v>7847</v>
      </c>
      <c r="I70" s="49">
        <f>I54</f>
        <v>151630.72724158576</v>
      </c>
      <c r="K70" s="49">
        <f>K54</f>
        <v>151630.72724158576</v>
      </c>
      <c r="L70" s="49"/>
      <c r="N70" s="49">
        <f>N54</f>
        <v>469694.56810396438</v>
      </c>
      <c r="P70" s="49">
        <f>P54</f>
        <v>615875</v>
      </c>
      <c r="Q70" s="49"/>
      <c r="R70" s="49">
        <v>469694.56810396438</v>
      </c>
      <c r="S70" s="49"/>
      <c r="U70" s="79">
        <f>U54</f>
        <v>159055</v>
      </c>
      <c r="V70" s="67"/>
      <c r="W70" s="67"/>
      <c r="X70" s="67"/>
      <c r="Y70" s="67"/>
      <c r="Z70" s="67"/>
    </row>
    <row r="71" spans="1:26" x14ac:dyDescent="0.25">
      <c r="A71" s="2" t="s">
        <v>59</v>
      </c>
      <c r="F71" s="49">
        <f>-0.5*F51</f>
        <v>-300.5</v>
      </c>
      <c r="I71" s="49">
        <f>-0.5*I51</f>
        <v>-6460.75</v>
      </c>
      <c r="K71" s="49">
        <f>-0.5*K51</f>
        <v>-6460.75</v>
      </c>
      <c r="L71" s="49"/>
      <c r="N71" s="49">
        <f>-0.5*N51</f>
        <v>-23960.75</v>
      </c>
      <c r="P71" s="49">
        <f>-0.5*P51</f>
        <v>-61457.5</v>
      </c>
      <c r="Q71" s="49"/>
      <c r="R71" s="49">
        <v>-23960.75</v>
      </c>
      <c r="S71" s="49"/>
      <c r="U71" s="79">
        <f>-0.5*U51</f>
        <v>-4909.5</v>
      </c>
      <c r="V71" s="67"/>
      <c r="W71" s="67"/>
      <c r="X71" s="67"/>
      <c r="Y71" s="67"/>
      <c r="Z71" s="67"/>
    </row>
    <row r="72" spans="1:26" x14ac:dyDescent="0.25">
      <c r="A72" s="2" t="s">
        <v>55</v>
      </c>
      <c r="F72" s="49">
        <f>-F60</f>
        <v>-6194</v>
      </c>
      <c r="I72" s="49">
        <f>-I60</f>
        <v>-130307.06084142395</v>
      </c>
      <c r="K72" s="49">
        <f>-K60</f>
        <v>-130307.06084142395</v>
      </c>
      <c r="L72" s="49"/>
      <c r="N72" s="49">
        <f>-N60</f>
        <v>-338371.65210355987</v>
      </c>
      <c r="P72" s="49">
        <f>-P60</f>
        <v>-425633</v>
      </c>
      <c r="Q72" s="49"/>
      <c r="R72" s="49">
        <v>-338371.65210355987</v>
      </c>
      <c r="S72" s="49"/>
      <c r="U72" s="79">
        <f>-U60</f>
        <v>-159308</v>
      </c>
      <c r="V72" s="67"/>
      <c r="W72" s="67"/>
      <c r="X72" s="67"/>
      <c r="Y72" s="67"/>
      <c r="Z72" s="67"/>
    </row>
    <row r="73" spans="1:26" x14ac:dyDescent="0.25">
      <c r="A73" s="2" t="s">
        <v>58</v>
      </c>
      <c r="F73" s="49">
        <f>F36*F69</f>
        <v>1605</v>
      </c>
      <c r="I73" s="49">
        <f>I36*I69</f>
        <v>34507.5</v>
      </c>
      <c r="K73" s="49">
        <f>K36*K69</f>
        <v>97958.300000000017</v>
      </c>
      <c r="L73" s="49"/>
      <c r="N73" s="49">
        <f>N36*N69</f>
        <v>244895.74999999988</v>
      </c>
      <c r="P73" s="49">
        <f>P36*P69</f>
        <v>862740</v>
      </c>
      <c r="Q73" s="49"/>
      <c r="R73" s="49">
        <v>734687.24999999965</v>
      </c>
      <c r="S73" s="49"/>
      <c r="U73" s="79">
        <f>U36*U69</f>
        <v>373230</v>
      </c>
      <c r="V73" s="67"/>
      <c r="W73" s="67"/>
      <c r="X73" s="67"/>
      <c r="Y73" s="67"/>
      <c r="Z73" s="67"/>
    </row>
    <row r="74" spans="1:26" x14ac:dyDescent="0.25">
      <c r="A74" s="21"/>
      <c r="B74" s="21"/>
      <c r="C74" s="21"/>
      <c r="D74" s="21"/>
      <c r="E74" s="21"/>
      <c r="F74" s="28"/>
      <c r="I74" s="28"/>
      <c r="K74" s="28"/>
      <c r="L74" s="50"/>
      <c r="N74" s="28"/>
      <c r="P74" s="28"/>
      <c r="Q74" s="50"/>
      <c r="R74" s="28"/>
      <c r="S74" s="50"/>
      <c r="U74" s="80"/>
      <c r="V74" s="67"/>
      <c r="W74" s="67"/>
      <c r="X74" s="67"/>
      <c r="Y74" s="67"/>
      <c r="Z74" s="67"/>
    </row>
    <row r="75" spans="1:26" x14ac:dyDescent="0.25">
      <c r="A75" s="2" t="s">
        <v>56</v>
      </c>
      <c r="F75" s="49">
        <f>SUM(F70:F73)</f>
        <v>2957.5</v>
      </c>
      <c r="I75" s="49">
        <f>SUM(I70:I73)</f>
        <v>49370.416400161805</v>
      </c>
      <c r="K75" s="49">
        <f>SUM(K70:K73)</f>
        <v>112821.21640016182</v>
      </c>
      <c r="L75" s="49"/>
      <c r="N75" s="49">
        <f>SUM(N70:N73)</f>
        <v>352257.9160004044</v>
      </c>
      <c r="P75" s="49">
        <f>SUM(P70:P73)</f>
        <v>991524.5</v>
      </c>
      <c r="Q75" s="49"/>
      <c r="R75" s="49">
        <v>842049.41600040416</v>
      </c>
      <c r="S75" s="49"/>
      <c r="U75" s="79">
        <f>SUM(U70:U73)</f>
        <v>368067.5</v>
      </c>
      <c r="V75" s="67"/>
      <c r="W75" s="67"/>
      <c r="X75" s="67"/>
      <c r="Y75" s="67"/>
      <c r="Z75" s="67"/>
    </row>
    <row r="77" spans="1:26" x14ac:dyDescent="0.25">
      <c r="K77" s="81"/>
      <c r="N77" s="49"/>
    </row>
    <row r="78" spans="1:26" x14ac:dyDescent="0.25">
      <c r="A78" s="2" t="s">
        <v>90</v>
      </c>
    </row>
    <row r="80" spans="1:26" x14ac:dyDescent="0.25">
      <c r="A80" s="2" t="str">
        <f>A17</f>
        <v>SALES</v>
      </c>
      <c r="F80" s="49">
        <f>F22</f>
        <v>20064</v>
      </c>
      <c r="I80" s="49">
        <f>I22</f>
        <v>431376</v>
      </c>
      <c r="K80" s="49">
        <f>K22</f>
        <v>431376</v>
      </c>
      <c r="N80" s="49">
        <f>N22</f>
        <v>1078440</v>
      </c>
      <c r="P80" s="49">
        <f>P22</f>
        <v>1409040</v>
      </c>
      <c r="Q80" s="49"/>
      <c r="R80" s="49"/>
      <c r="S80" s="49"/>
    </row>
    <row r="81" spans="1:19" x14ac:dyDescent="0.25">
      <c r="A81" s="2" t="s">
        <v>69</v>
      </c>
      <c r="F81" s="49">
        <f>F36</f>
        <v>321</v>
      </c>
      <c r="I81" s="49">
        <f>I36</f>
        <v>6901.5</v>
      </c>
      <c r="K81" s="49">
        <f>K36</f>
        <v>19591.660000000003</v>
      </c>
      <c r="N81" s="49">
        <f>N36</f>
        <v>48979.14999999998</v>
      </c>
      <c r="P81" s="49">
        <f>P36</f>
        <v>57516</v>
      </c>
      <c r="Q81" s="49"/>
      <c r="R81" s="49"/>
      <c r="S81" s="49"/>
    </row>
    <row r="82" spans="1:19" x14ac:dyDescent="0.25">
      <c r="F82" s="49"/>
      <c r="I82" s="49"/>
      <c r="K82" s="49"/>
      <c r="N82" s="49"/>
      <c r="P82" s="49"/>
      <c r="Q82" s="49"/>
      <c r="R82" s="49"/>
      <c r="S82" s="49"/>
    </row>
    <row r="83" spans="1:19" x14ac:dyDescent="0.25">
      <c r="A83" s="2" t="s">
        <v>70</v>
      </c>
      <c r="F83" s="49">
        <f>F48</f>
        <v>7246</v>
      </c>
      <c r="I83" s="49">
        <f>I48</f>
        <v>138709.22724158576</v>
      </c>
      <c r="K83" s="49">
        <f>K48</f>
        <v>138709.22724158576</v>
      </c>
      <c r="N83" s="49">
        <f>N48</f>
        <v>346773.06810396438</v>
      </c>
      <c r="P83" s="49">
        <f>P48</f>
        <v>383975</v>
      </c>
      <c r="Q83" s="49"/>
      <c r="R83" s="49"/>
      <c r="S83" s="49"/>
    </row>
    <row r="84" spans="1:19" x14ac:dyDescent="0.25">
      <c r="B84" s="82" t="str">
        <f>B50</f>
        <v>Intangible assets and Goodwill</v>
      </c>
      <c r="C84" s="82"/>
      <c r="D84" s="82"/>
      <c r="E84" s="82"/>
      <c r="F84" s="83"/>
      <c r="I84" s="83"/>
      <c r="K84" s="83"/>
      <c r="N84" s="83">
        <f>N50</f>
        <v>75000</v>
      </c>
      <c r="P84" s="83">
        <f>P50</f>
        <v>108985</v>
      </c>
      <c r="Q84" s="83"/>
      <c r="R84" s="83"/>
      <c r="S84" s="83"/>
    </row>
    <row r="85" spans="1:19" x14ac:dyDescent="0.25">
      <c r="B85" s="82" t="str">
        <f>B51</f>
        <v>Building and Equipment</v>
      </c>
      <c r="C85" s="82"/>
      <c r="D85" s="82"/>
      <c r="E85" s="82"/>
      <c r="F85" s="83">
        <f>F51</f>
        <v>601</v>
      </c>
      <c r="I85" s="83">
        <f>I51</f>
        <v>12921.5</v>
      </c>
      <c r="K85" s="83">
        <f>K51</f>
        <v>12921.5</v>
      </c>
      <c r="N85" s="83">
        <f>N51</f>
        <v>47921.5</v>
      </c>
      <c r="P85" s="83">
        <f>P51</f>
        <v>122915</v>
      </c>
      <c r="Q85" s="83"/>
      <c r="R85" s="83"/>
      <c r="S85" s="83"/>
    </row>
    <row r="86" spans="1:19" x14ac:dyDescent="0.25">
      <c r="A86" s="2" t="s">
        <v>71</v>
      </c>
      <c r="F86" s="49">
        <f>F52</f>
        <v>601</v>
      </c>
      <c r="I86" s="49">
        <f>I52</f>
        <v>12921.5</v>
      </c>
      <c r="K86" s="49">
        <f>K52</f>
        <v>12921.5</v>
      </c>
      <c r="N86" s="49">
        <f>N52</f>
        <v>122921.5</v>
      </c>
      <c r="P86" s="49">
        <f>P52</f>
        <v>231900</v>
      </c>
      <c r="Q86" s="49"/>
      <c r="R86" s="49"/>
      <c r="S86" s="49"/>
    </row>
    <row r="87" spans="1:19" x14ac:dyDescent="0.25">
      <c r="A87" s="2" t="str">
        <f>A54</f>
        <v>TOTAL ASSETS</v>
      </c>
      <c r="F87" s="49">
        <f>F54</f>
        <v>7847</v>
      </c>
      <c r="I87" s="49">
        <f>I54</f>
        <v>151630.72724158576</v>
      </c>
      <c r="K87" s="49">
        <f>K54</f>
        <v>151630.72724158576</v>
      </c>
      <c r="N87" s="49">
        <f>N54</f>
        <v>469694.56810396438</v>
      </c>
      <c r="P87" s="49">
        <f>P54</f>
        <v>615875</v>
      </c>
      <c r="Q87" s="49"/>
      <c r="R87" s="49"/>
      <c r="S87" s="49"/>
    </row>
    <row r="89" spans="1:19" x14ac:dyDescent="0.25">
      <c r="A89" s="2" t="s">
        <v>72</v>
      </c>
      <c r="F89" s="49">
        <f>F60</f>
        <v>6194</v>
      </c>
      <c r="I89" s="49">
        <f>I60</f>
        <v>130307.06084142395</v>
      </c>
      <c r="K89" s="49">
        <f>K60</f>
        <v>130307.06084142395</v>
      </c>
      <c r="N89" s="49">
        <f>N60</f>
        <v>338371.65210355987</v>
      </c>
      <c r="P89" s="49">
        <f>P60</f>
        <v>425633</v>
      </c>
      <c r="Q89" s="49"/>
      <c r="R89" s="49"/>
      <c r="S89" s="49"/>
    </row>
    <row r="90" spans="1:19" x14ac:dyDescent="0.25">
      <c r="A90" s="2" t="s">
        <v>73</v>
      </c>
      <c r="F90" s="49">
        <f>F64</f>
        <v>1653</v>
      </c>
      <c r="G90" s="49"/>
      <c r="H90" s="49"/>
      <c r="I90" s="49">
        <f>I64</f>
        <v>21323.7</v>
      </c>
      <c r="J90" s="49"/>
      <c r="K90" s="49">
        <f>K64</f>
        <v>21323.7</v>
      </c>
      <c r="L90" s="49"/>
      <c r="M90" s="49"/>
      <c r="N90" s="49">
        <f>N64</f>
        <v>131323.70000000001</v>
      </c>
      <c r="O90" s="49"/>
      <c r="P90" s="49">
        <f>P64</f>
        <v>190242</v>
      </c>
      <c r="Q90" s="49"/>
      <c r="R90" s="49"/>
      <c r="S90" s="49"/>
    </row>
    <row r="91" spans="1:19" x14ac:dyDescent="0.25">
      <c r="A91" s="2" t="s">
        <v>74</v>
      </c>
      <c r="F91" s="49">
        <f>F66</f>
        <v>7847</v>
      </c>
      <c r="I91" s="49">
        <f>I66</f>
        <v>151630.76084142397</v>
      </c>
      <c r="K91" s="49">
        <f>K66</f>
        <v>151630.76084142397</v>
      </c>
      <c r="N91" s="49">
        <f>N66</f>
        <v>469695.35210355988</v>
      </c>
      <c r="P91" s="49">
        <f>P66</f>
        <v>615875</v>
      </c>
      <c r="Q91" s="49"/>
      <c r="R91" s="49"/>
      <c r="S91" s="49"/>
    </row>
    <row r="92" spans="1:19" x14ac:dyDescent="0.25">
      <c r="F92" s="49"/>
      <c r="I92" s="49"/>
      <c r="K92" s="49"/>
      <c r="N92" s="49"/>
      <c r="P92" s="49"/>
      <c r="Q92" s="49"/>
      <c r="R92" s="49"/>
      <c r="S92" s="49"/>
    </row>
    <row r="93" spans="1:19" x14ac:dyDescent="0.25">
      <c r="A93" s="2" t="s">
        <v>83</v>
      </c>
      <c r="F93" s="49" t="s">
        <v>84</v>
      </c>
      <c r="I93" s="49" t="s">
        <v>84</v>
      </c>
      <c r="K93" s="49" t="s">
        <v>84</v>
      </c>
      <c r="N93" s="49" t="s">
        <v>84</v>
      </c>
      <c r="P93" s="49" t="s">
        <v>85</v>
      </c>
      <c r="Q93" s="49"/>
      <c r="R93" s="49"/>
      <c r="S93" s="49"/>
    </row>
    <row r="94" spans="1:19" x14ac:dyDescent="0.25">
      <c r="F94" s="49"/>
      <c r="I94" s="49"/>
      <c r="K94" s="49"/>
      <c r="N94" s="49"/>
      <c r="P94" s="49"/>
      <c r="Q94" s="49"/>
      <c r="R94" s="49"/>
      <c r="S94" s="49"/>
    </row>
    <row r="95" spans="1:19" x14ac:dyDescent="0.25">
      <c r="A95" s="2" t="str">
        <f>A70</f>
        <v>TOTAL ASSETS</v>
      </c>
      <c r="F95" s="49">
        <f>F70</f>
        <v>7847</v>
      </c>
      <c r="G95" s="49"/>
      <c r="H95" s="49"/>
      <c r="I95" s="49">
        <f>I70</f>
        <v>151630.72724158576</v>
      </c>
      <c r="J95" s="49"/>
      <c r="K95" s="49">
        <f>K70</f>
        <v>151630.72724158576</v>
      </c>
      <c r="L95" s="49"/>
      <c r="M95" s="49"/>
      <c r="N95" s="49">
        <f>N70</f>
        <v>469694.56810396438</v>
      </c>
      <c r="O95" s="49"/>
      <c r="P95" s="49">
        <f>P70</f>
        <v>615875</v>
      </c>
      <c r="Q95" s="49"/>
      <c r="R95" s="49"/>
      <c r="S95" s="49"/>
    </row>
    <row r="96" spans="1:19" x14ac:dyDescent="0.25">
      <c r="A96" s="2" t="str">
        <f>A71</f>
        <v xml:space="preserve">     MINUS 50% OF BUILDING &amp; EQUIPMENT</v>
      </c>
      <c r="F96" s="49">
        <f>F71</f>
        <v>-300.5</v>
      </c>
      <c r="G96" s="49"/>
      <c r="H96" s="49"/>
      <c r="I96" s="49">
        <f>I71</f>
        <v>-6460.75</v>
      </c>
      <c r="J96" s="49"/>
      <c r="K96" s="49">
        <f>K71</f>
        <v>-6460.75</v>
      </c>
      <c r="L96" s="49"/>
      <c r="M96" s="49"/>
      <c r="N96" s="49">
        <f>N71</f>
        <v>-23960.75</v>
      </c>
      <c r="O96" s="49"/>
      <c r="P96" s="49">
        <f>P71</f>
        <v>-61457.5</v>
      </c>
      <c r="Q96" s="49"/>
      <c r="R96" s="49"/>
      <c r="S96" s="49"/>
    </row>
    <row r="97" spans="1:19" x14ac:dyDescent="0.25">
      <c r="A97" s="2" t="str">
        <f>A72</f>
        <v>MIINUS LIABILITIES</v>
      </c>
      <c r="F97" s="49">
        <f>F72</f>
        <v>-6194</v>
      </c>
      <c r="G97" s="49"/>
      <c r="H97" s="49"/>
      <c r="I97" s="49">
        <f>I72</f>
        <v>-130307.06084142395</v>
      </c>
      <c r="J97" s="49"/>
      <c r="K97" s="49">
        <f>K72</f>
        <v>-130307.06084142395</v>
      </c>
      <c r="L97" s="49"/>
      <c r="M97" s="49"/>
      <c r="N97" s="49">
        <f>N72</f>
        <v>-338371.65210355987</v>
      </c>
      <c r="O97" s="49"/>
      <c r="P97" s="49">
        <f>P72</f>
        <v>-425633</v>
      </c>
      <c r="Q97" s="49"/>
      <c r="R97" s="49"/>
      <c r="S97" s="49"/>
    </row>
    <row r="98" spans="1:19" x14ac:dyDescent="0.25">
      <c r="A98" s="2" t="str">
        <f>A73</f>
        <v>PLUS Blue Sky Value (EBIT x MULTIPLE)</v>
      </c>
      <c r="F98" s="49">
        <f>F73</f>
        <v>1605</v>
      </c>
      <c r="G98" s="49"/>
      <c r="H98" s="49"/>
      <c r="I98" s="49">
        <f>I73</f>
        <v>34507.5</v>
      </c>
      <c r="J98" s="49"/>
      <c r="K98" s="49">
        <f>K73</f>
        <v>97958.300000000017</v>
      </c>
      <c r="L98" s="49"/>
      <c r="M98" s="49"/>
      <c r="N98" s="49">
        <f>N73</f>
        <v>244895.74999999988</v>
      </c>
      <c r="O98" s="49"/>
      <c r="P98" s="49">
        <f>P73</f>
        <v>862740</v>
      </c>
      <c r="Q98" s="49"/>
      <c r="R98" s="49"/>
      <c r="S98" s="49"/>
    </row>
    <row r="99" spans="1:19" x14ac:dyDescent="0.25"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</row>
    <row r="100" spans="1:19" x14ac:dyDescent="0.25">
      <c r="A100" s="2" t="str">
        <f>A75</f>
        <v>ENTERPRISE VALUE</v>
      </c>
      <c r="F100" s="49">
        <f>F75</f>
        <v>2957.5</v>
      </c>
      <c r="G100" s="49"/>
      <c r="H100" s="49"/>
      <c r="I100" s="49">
        <f>I75</f>
        <v>49370.416400161805</v>
      </c>
      <c r="J100" s="49"/>
      <c r="K100" s="49">
        <f>K75</f>
        <v>112821.21640016182</v>
      </c>
      <c r="L100" s="49"/>
      <c r="M100" s="49"/>
      <c r="N100" s="49">
        <f>N75</f>
        <v>352257.9160004044</v>
      </c>
      <c r="O100" s="49"/>
      <c r="P100" s="49">
        <f>P75</f>
        <v>991524.5</v>
      </c>
      <c r="Q100" s="49"/>
      <c r="R100" s="49"/>
      <c r="S100" s="49"/>
    </row>
  </sheetData>
  <phoneticPr fontId="14" type="noConversion"/>
  <printOptions horizontalCentered="1"/>
  <pageMargins left="0.36000000000000004" right="0.19685039370078741" top="1" bottom="1" header="0.5" footer="0.5"/>
  <pageSetup scale="80" fitToHeight="2" orientation="landscape" horizontalDpi="4294967292" verticalDpi="4294967292"/>
  <rowBreaks count="1" manualBreakCount="1">
    <brk id="40" max="18" man="1"/>
  </rowBreaks>
  <drawing r:id="rId1"/>
  <extLst>
    <ext xmlns:mx="http://schemas.microsoft.com/office/mac/excel/2008/main" uri="{64002731-A6B0-56B0-2670-7721B7C09600}">
      <mx:PLV Mode="0" OnePage="0" WScale="87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K12" sqref="K12"/>
    </sheetView>
  </sheetViews>
  <sheetFormatPr baseColWidth="10" defaultColWidth="10.85546875" defaultRowHeight="20.25" x14ac:dyDescent="0.3"/>
  <cols>
    <col min="1" max="1" width="43" style="91" bestFit="1" customWidth="1"/>
    <col min="2" max="4" width="14.85546875" style="91" customWidth="1"/>
    <col min="5" max="5" width="15.28515625" style="91" bestFit="1" customWidth="1"/>
    <col min="6" max="6" width="16" style="91" bestFit="1" customWidth="1"/>
    <col min="7" max="7" width="10.85546875" style="91"/>
    <col min="8" max="8" width="15.28515625" style="91" bestFit="1" customWidth="1"/>
    <col min="9" max="16384" width="10.85546875" style="91"/>
  </cols>
  <sheetData>
    <row r="1" spans="1:8" x14ac:dyDescent="0.3">
      <c r="A1" s="121"/>
      <c r="B1" s="92" t="s">
        <v>2</v>
      </c>
      <c r="C1" s="92" t="s">
        <v>76</v>
      </c>
      <c r="D1" s="92" t="s">
        <v>61</v>
      </c>
      <c r="E1" s="92" t="s">
        <v>63</v>
      </c>
      <c r="F1" s="92" t="s">
        <v>64</v>
      </c>
      <c r="H1" s="92" t="s">
        <v>63</v>
      </c>
    </row>
    <row r="3" spans="1:8" x14ac:dyDescent="0.3">
      <c r="A3" s="93" t="s">
        <v>91</v>
      </c>
      <c r="B3" s="85">
        <v>20064</v>
      </c>
      <c r="C3" s="85">
        <v>431376</v>
      </c>
      <c r="D3" s="85">
        <v>431376</v>
      </c>
      <c r="E3" s="85">
        <v>1078440</v>
      </c>
      <c r="F3" s="85">
        <v>1409040</v>
      </c>
      <c r="H3" s="85">
        <v>1078440</v>
      </c>
    </row>
    <row r="4" spans="1:8" x14ac:dyDescent="0.3">
      <c r="A4" s="94" t="s">
        <v>69</v>
      </c>
      <c r="B4" s="86">
        <v>321</v>
      </c>
      <c r="C4" s="86">
        <v>6901.5</v>
      </c>
      <c r="D4" s="86">
        <v>19591.660000000003</v>
      </c>
      <c r="E4" s="86">
        <v>48979.14999999998</v>
      </c>
      <c r="F4" s="86">
        <v>57516</v>
      </c>
      <c r="H4" s="86">
        <v>48979.14999999998</v>
      </c>
    </row>
    <row r="5" spans="1:8" x14ac:dyDescent="0.3">
      <c r="B5" s="84"/>
      <c r="C5" s="84"/>
      <c r="D5" s="84"/>
      <c r="E5" s="84"/>
      <c r="F5" s="84"/>
      <c r="H5" s="84"/>
    </row>
    <row r="6" spans="1:8" x14ac:dyDescent="0.3">
      <c r="A6" s="93" t="s">
        <v>70</v>
      </c>
      <c r="B6" s="85">
        <v>7246</v>
      </c>
      <c r="C6" s="85">
        <v>138709.22724158576</v>
      </c>
      <c r="D6" s="85">
        <v>138709.22724158576</v>
      </c>
      <c r="E6" s="85">
        <v>346773.06810396438</v>
      </c>
      <c r="F6" s="85">
        <v>383975</v>
      </c>
      <c r="H6" s="85">
        <v>346773.06810396438</v>
      </c>
    </row>
    <row r="7" spans="1:8" x14ac:dyDescent="0.3">
      <c r="A7" s="95" t="s">
        <v>78</v>
      </c>
      <c r="B7" s="87"/>
      <c r="C7" s="87"/>
      <c r="D7" s="87"/>
      <c r="E7" s="87">
        <v>75000</v>
      </c>
      <c r="F7" s="87">
        <v>108985</v>
      </c>
      <c r="H7" s="87">
        <v>75000</v>
      </c>
    </row>
    <row r="8" spans="1:8" x14ac:dyDescent="0.3">
      <c r="A8" s="95" t="s">
        <v>75</v>
      </c>
      <c r="B8" s="87">
        <v>601</v>
      </c>
      <c r="C8" s="87">
        <v>12921.5</v>
      </c>
      <c r="D8" s="87">
        <v>12921.5</v>
      </c>
      <c r="E8" s="87">
        <v>47921.5</v>
      </c>
      <c r="F8" s="87">
        <v>122915</v>
      </c>
      <c r="H8" s="87">
        <v>47921.5</v>
      </c>
    </row>
    <row r="9" spans="1:8" x14ac:dyDescent="0.3">
      <c r="A9" s="94" t="s">
        <v>71</v>
      </c>
      <c r="B9" s="86">
        <v>601</v>
      </c>
      <c r="C9" s="86">
        <v>12921.5</v>
      </c>
      <c r="D9" s="86">
        <v>12921.5</v>
      </c>
      <c r="E9" s="86">
        <v>122921.5</v>
      </c>
      <c r="F9" s="86">
        <v>231900</v>
      </c>
      <c r="H9" s="86">
        <v>122921.5</v>
      </c>
    </row>
    <row r="10" spans="1:8" x14ac:dyDescent="0.3">
      <c r="A10" s="96" t="s">
        <v>44</v>
      </c>
      <c r="B10" s="88">
        <v>7847</v>
      </c>
      <c r="C10" s="88">
        <v>151630.72724158576</v>
      </c>
      <c r="D10" s="88">
        <v>151630.72724158576</v>
      </c>
      <c r="E10" s="88">
        <v>469694.56810396438</v>
      </c>
      <c r="F10" s="88">
        <v>615875</v>
      </c>
      <c r="H10" s="88">
        <v>469694.56810396438</v>
      </c>
    </row>
    <row r="11" spans="1:8" x14ac:dyDescent="0.3">
      <c r="B11" s="84"/>
      <c r="C11" s="84"/>
      <c r="D11" s="84"/>
      <c r="E11" s="84"/>
      <c r="F11" s="84"/>
      <c r="H11" s="84"/>
    </row>
    <row r="12" spans="1:8" x14ac:dyDescent="0.3">
      <c r="A12" s="93" t="s">
        <v>72</v>
      </c>
      <c r="B12" s="85">
        <v>6194</v>
      </c>
      <c r="C12" s="85">
        <v>130307.06084142395</v>
      </c>
      <c r="D12" s="85">
        <v>130307.06084142395</v>
      </c>
      <c r="E12" s="85">
        <v>338371.65210355987</v>
      </c>
      <c r="F12" s="85">
        <v>425633</v>
      </c>
      <c r="H12" s="85">
        <v>338371.65210355987</v>
      </c>
    </row>
    <row r="13" spans="1:8" x14ac:dyDescent="0.3">
      <c r="A13" s="94" t="s">
        <v>73</v>
      </c>
      <c r="B13" s="86">
        <v>1653</v>
      </c>
      <c r="C13" s="86">
        <v>21323.7</v>
      </c>
      <c r="D13" s="86">
        <v>21323.7</v>
      </c>
      <c r="E13" s="86">
        <v>131323.70000000001</v>
      </c>
      <c r="F13" s="86">
        <v>190242</v>
      </c>
      <c r="H13" s="86">
        <v>131323.70000000001</v>
      </c>
    </row>
    <row r="14" spans="1:8" x14ac:dyDescent="0.3">
      <c r="A14" s="96" t="s">
        <v>74</v>
      </c>
      <c r="B14" s="88">
        <v>7847</v>
      </c>
      <c r="C14" s="88">
        <v>151630.76084142397</v>
      </c>
      <c r="D14" s="88">
        <v>151630.76084142397</v>
      </c>
      <c r="E14" s="88">
        <v>469695.35210355988</v>
      </c>
      <c r="F14" s="88">
        <v>615875</v>
      </c>
      <c r="H14" s="88">
        <v>469695.35210355988</v>
      </c>
    </row>
    <row r="15" spans="1:8" x14ac:dyDescent="0.3">
      <c r="A15" s="97"/>
      <c r="B15" s="89"/>
      <c r="C15" s="89"/>
      <c r="D15" s="89"/>
      <c r="E15" s="89"/>
      <c r="F15" s="89"/>
      <c r="H15" s="89"/>
    </row>
    <row r="16" spans="1:8" x14ac:dyDescent="0.3">
      <c r="A16" s="97" t="s">
        <v>82</v>
      </c>
      <c r="B16" s="90" t="s">
        <v>80</v>
      </c>
      <c r="C16" s="90" t="s">
        <v>80</v>
      </c>
      <c r="D16" s="90" t="s">
        <v>80</v>
      </c>
      <c r="E16" s="90" t="s">
        <v>80</v>
      </c>
      <c r="F16" s="90" t="s">
        <v>81</v>
      </c>
      <c r="H16" s="90" t="s">
        <v>81</v>
      </c>
    </row>
    <row r="17" spans="1:8" x14ac:dyDescent="0.3">
      <c r="B17" s="84"/>
      <c r="C17" s="84"/>
      <c r="D17" s="84"/>
      <c r="E17" s="84"/>
      <c r="F17" s="84"/>
      <c r="H17" s="84"/>
    </row>
    <row r="18" spans="1:8" x14ac:dyDescent="0.3">
      <c r="A18" s="93" t="s">
        <v>44</v>
      </c>
      <c r="B18" s="85">
        <v>7847</v>
      </c>
      <c r="C18" s="85">
        <v>151630.72724158576</v>
      </c>
      <c r="D18" s="85">
        <v>151630.72724158576</v>
      </c>
      <c r="E18" s="85">
        <v>469694.56810396438</v>
      </c>
      <c r="F18" s="85">
        <v>615875</v>
      </c>
      <c r="H18" s="85">
        <v>469694.56810396438</v>
      </c>
    </row>
    <row r="19" spans="1:8" x14ac:dyDescent="0.3">
      <c r="A19" s="97" t="s">
        <v>77</v>
      </c>
      <c r="B19" s="89">
        <v>-300.5</v>
      </c>
      <c r="C19" s="89">
        <v>-6460.75</v>
      </c>
      <c r="D19" s="89">
        <v>-6460.75</v>
      </c>
      <c r="E19" s="89">
        <v>-23960.75</v>
      </c>
      <c r="F19" s="89">
        <v>-61457.5</v>
      </c>
      <c r="H19" s="89">
        <v>-23960.75</v>
      </c>
    </row>
    <row r="20" spans="1:8" x14ac:dyDescent="0.3">
      <c r="A20" s="97" t="s">
        <v>55</v>
      </c>
      <c r="B20" s="89">
        <v>-6194</v>
      </c>
      <c r="C20" s="89">
        <v>-130307.06084142395</v>
      </c>
      <c r="D20" s="89">
        <v>-130307.06084142395</v>
      </c>
      <c r="E20" s="89">
        <v>-338371.65210355987</v>
      </c>
      <c r="F20" s="89">
        <v>-425633</v>
      </c>
      <c r="H20" s="89">
        <v>-338371.65210355987</v>
      </c>
    </row>
    <row r="21" spans="1:8" x14ac:dyDescent="0.3">
      <c r="A21" s="94" t="s">
        <v>79</v>
      </c>
      <c r="B21" s="86">
        <v>1605</v>
      </c>
      <c r="C21" s="86">
        <v>34507.5</v>
      </c>
      <c r="D21" s="86">
        <v>97958.300000000017</v>
      </c>
      <c r="E21" s="86">
        <v>244895.74999999988</v>
      </c>
      <c r="F21" s="86">
        <v>862740</v>
      </c>
      <c r="H21" s="86">
        <v>734687.24999999965</v>
      </c>
    </row>
    <row r="22" spans="1:8" x14ac:dyDescent="0.3">
      <c r="B22" s="84"/>
      <c r="C22" s="84"/>
      <c r="D22" s="84"/>
      <c r="E22" s="84"/>
      <c r="F22" s="84"/>
      <c r="H22" s="84"/>
    </row>
    <row r="23" spans="1:8" x14ac:dyDescent="0.3">
      <c r="A23" s="96" t="s">
        <v>56</v>
      </c>
      <c r="B23" s="88">
        <v>2957.5</v>
      </c>
      <c r="C23" s="88">
        <v>49370.416400161805</v>
      </c>
      <c r="D23" s="88">
        <v>112821.21640016182</v>
      </c>
      <c r="E23" s="88">
        <v>352257.9160004044</v>
      </c>
      <c r="F23" s="88">
        <v>991524.5</v>
      </c>
      <c r="H23" s="88">
        <v>842049.41600040416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Appendix V2</vt:lpstr>
      <vt:lpstr>PowerPoint Version</vt:lpstr>
      <vt:lpstr>'Appendix V2'!Zone_d_impression</vt:lpstr>
    </vt:vector>
  </TitlesOfParts>
  <Company>HEC Montréal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King</dc:creator>
  <cp:lastModifiedBy>Joanne</cp:lastModifiedBy>
  <cp:lastPrinted>2016-01-28T18:21:50Z</cp:lastPrinted>
  <dcterms:created xsi:type="dcterms:W3CDTF">2015-06-03T01:17:29Z</dcterms:created>
  <dcterms:modified xsi:type="dcterms:W3CDTF">2016-04-04T20:06:59Z</dcterms:modified>
</cp:coreProperties>
</file>